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2" yWindow="564" windowWidth="16476" windowHeight="6564"/>
  </bookViews>
  <sheets>
    <sheet name="Recap" sheetId="10" r:id="rId1"/>
    <sheet name="Summary" sheetId="1" r:id="rId2"/>
    <sheet name="SYstem Information Only" sheetId="11" r:id="rId3"/>
    <sheet name="Other Approp Bills" sheetId="12" r:id="rId4"/>
    <sheet name="ASU" sheetId="2" r:id="rId5"/>
    <sheet name="DSU" sheetId="3" r:id="rId6"/>
    <sheet name="JSU" sheetId="4" r:id="rId7"/>
    <sheet name="MSU" sheetId="5" r:id="rId8"/>
    <sheet name="MUW" sheetId="6" r:id="rId9"/>
    <sheet name="MVSU" sheetId="7" r:id="rId10"/>
    <sheet name="UM" sheetId="8" r:id="rId11"/>
    <sheet name="USM" sheetId="9" r:id="rId12"/>
  </sheets>
  <externalReferences>
    <externalReference r:id="rId13"/>
    <externalReference r:id="rId14"/>
    <externalReference r:id="rId15"/>
  </externalReferences>
  <definedNames>
    <definedName name="_xlnm.Print_Area" localSheetId="3">'Other Approp Bills'!$A$1:$H$59</definedName>
    <definedName name="_xlnm.Print_Area" localSheetId="0">Recap!$A$1:$P$46</definedName>
  </definedNames>
  <calcPr calcId="125725"/>
</workbook>
</file>

<file path=xl/calcChain.xml><?xml version="1.0" encoding="utf-8"?>
<calcChain xmlns="http://schemas.openxmlformats.org/spreadsheetml/2006/main">
  <c r="V5" i="12"/>
  <c r="U5"/>
  <c r="U63"/>
  <c r="V63" s="1"/>
  <c r="U62"/>
  <c r="U61"/>
  <c r="V61" s="1"/>
  <c r="U60"/>
  <c r="V60" s="1"/>
  <c r="U59"/>
  <c r="V59" s="1"/>
  <c r="U58"/>
  <c r="U57"/>
  <c r="V57" s="1"/>
  <c r="U56"/>
  <c r="V56" s="1"/>
  <c r="U55"/>
  <c r="V55" s="1"/>
  <c r="U54"/>
  <c r="U53"/>
  <c r="V53" s="1"/>
  <c r="U50"/>
  <c r="V50" s="1"/>
  <c r="U49"/>
  <c r="V49" s="1"/>
  <c r="U48"/>
  <c r="U47"/>
  <c r="V47" s="1"/>
  <c r="U46"/>
  <c r="V46" s="1"/>
  <c r="U45"/>
  <c r="V45" s="1"/>
  <c r="U44"/>
  <c r="U43"/>
  <c r="V43" s="1"/>
  <c r="U42"/>
  <c r="V42" s="1"/>
  <c r="U41"/>
  <c r="V41" s="1"/>
  <c r="U40"/>
  <c r="U36"/>
  <c r="U35"/>
  <c r="V35" s="1"/>
  <c r="U26"/>
  <c r="U25"/>
  <c r="U15"/>
  <c r="V15" s="1"/>
  <c r="U14"/>
  <c r="U12"/>
  <c r="U11"/>
  <c r="V11" s="1"/>
  <c r="U9"/>
  <c r="V9" s="1"/>
  <c r="U8"/>
  <c r="T39"/>
  <c r="U39" s="1"/>
  <c r="V39" s="1"/>
  <c r="T38"/>
  <c r="U38" s="1"/>
  <c r="T37"/>
  <c r="U37" s="1"/>
  <c r="V37" s="1"/>
  <c r="T34"/>
  <c r="U34" s="1"/>
  <c r="T33"/>
  <c r="U33" s="1"/>
  <c r="V33" s="1"/>
  <c r="T32"/>
  <c r="U32" s="1"/>
  <c r="T31"/>
  <c r="U31" s="1"/>
  <c r="V31" s="1"/>
  <c r="T30"/>
  <c r="U30" s="1"/>
  <c r="T29"/>
  <c r="U29" s="1"/>
  <c r="V29" s="1"/>
  <c r="T28"/>
  <c r="U28" s="1"/>
  <c r="T27"/>
  <c r="U27" s="1"/>
  <c r="T24"/>
  <c r="U24" s="1"/>
  <c r="T23"/>
  <c r="U23" s="1"/>
  <c r="T22"/>
  <c r="U22" s="1"/>
  <c r="T21"/>
  <c r="T20"/>
  <c r="U20" s="1"/>
  <c r="T19"/>
  <c r="U19" s="1"/>
  <c r="T18"/>
  <c r="U18" s="1"/>
  <c r="T17"/>
  <c r="T16"/>
  <c r="U16" s="1"/>
  <c r="T13"/>
  <c r="T10"/>
  <c r="U10" s="1"/>
  <c r="T7"/>
  <c r="U7" s="1"/>
  <c r="T6"/>
  <c r="U6" l="1"/>
  <c r="V6" s="1"/>
  <c r="V7"/>
  <c r="W7" s="1"/>
  <c r="F7" s="1"/>
  <c r="W9"/>
  <c r="U13"/>
  <c r="U17"/>
  <c r="V19"/>
  <c r="W19" s="1"/>
  <c r="F19" s="1"/>
  <c r="U21"/>
  <c r="V21" s="1"/>
  <c r="V23"/>
  <c r="W23" s="1"/>
  <c r="F23" s="1"/>
  <c r="V27"/>
  <c r="W27" s="1"/>
  <c r="F27" s="1"/>
  <c r="V38"/>
  <c r="W38" s="1"/>
  <c r="F38" s="1"/>
  <c r="Y6"/>
  <c r="Z6" s="1"/>
  <c r="AA6" s="1"/>
  <c r="AB6" s="1"/>
  <c r="AC6" s="1"/>
  <c r="W11"/>
  <c r="W15"/>
  <c r="V25"/>
  <c r="W25" s="1"/>
  <c r="V40"/>
  <c r="W40" s="1"/>
  <c r="W42"/>
  <c r="V44"/>
  <c r="W44" s="1"/>
  <c r="W46"/>
  <c r="V48"/>
  <c r="W48" s="1"/>
  <c r="W50"/>
  <c r="V54"/>
  <c r="W54" s="1"/>
  <c r="W56"/>
  <c r="V58"/>
  <c r="W58" s="1"/>
  <c r="W60"/>
  <c r="V62"/>
  <c r="W62" s="1"/>
  <c r="V8"/>
  <c r="W8" s="1"/>
  <c r="V10"/>
  <c r="W10" s="1"/>
  <c r="F10" s="1"/>
  <c r="V12"/>
  <c r="W12" s="1"/>
  <c r="V14"/>
  <c r="W14" s="1"/>
  <c r="V16"/>
  <c r="W16" s="1"/>
  <c r="F16" s="1"/>
  <c r="V18"/>
  <c r="W18" s="1"/>
  <c r="F18" s="1"/>
  <c r="V20"/>
  <c r="W20" s="1"/>
  <c r="F20" s="1"/>
  <c r="V22"/>
  <c r="W22" s="1"/>
  <c r="F22" s="1"/>
  <c r="V24"/>
  <c r="W24" s="1"/>
  <c r="F24" s="1"/>
  <c r="V26"/>
  <c r="W26" s="1"/>
  <c r="V28"/>
  <c r="W28" s="1"/>
  <c r="F28" s="1"/>
  <c r="W29"/>
  <c r="F29" s="1"/>
  <c r="V30"/>
  <c r="W30" s="1"/>
  <c r="F30" s="1"/>
  <c r="W31"/>
  <c r="F31" s="1"/>
  <c r="V32"/>
  <c r="W32" s="1"/>
  <c r="F32" s="1"/>
  <c r="W33"/>
  <c r="F33" s="1"/>
  <c r="V34"/>
  <c r="W34" s="1"/>
  <c r="F34" s="1"/>
  <c r="W35"/>
  <c r="V36"/>
  <c r="W36" s="1"/>
  <c r="W37"/>
  <c r="F37" s="1"/>
  <c r="W39"/>
  <c r="F39" s="1"/>
  <c r="W41"/>
  <c r="W43"/>
  <c r="W45"/>
  <c r="W47"/>
  <c r="W49"/>
  <c r="W53"/>
  <c r="W55"/>
  <c r="W57"/>
  <c r="W59"/>
  <c r="W61"/>
  <c r="W63"/>
  <c r="V13" l="1"/>
  <c r="W13" s="1"/>
  <c r="F13" s="1"/>
  <c r="W21"/>
  <c r="F21" s="1"/>
  <c r="W6"/>
  <c r="F6" s="1"/>
  <c r="V17"/>
  <c r="W17" s="1"/>
  <c r="F17" s="1"/>
  <c r="F40" l="1"/>
  <c r="F57" l="1"/>
  <c r="E57"/>
  <c r="D57"/>
  <c r="C57"/>
  <c r="E55"/>
  <c r="D55"/>
  <c r="C55"/>
  <c r="B57"/>
  <c r="B55"/>
  <c r="G47"/>
  <c r="H47" s="1"/>
  <c r="H57" s="1"/>
  <c r="D47"/>
  <c r="D43"/>
  <c r="C43"/>
  <c r="E40"/>
  <c r="E45" s="1"/>
  <c r="E49" s="1"/>
  <c r="C34"/>
  <c r="C33"/>
  <c r="C24"/>
  <c r="C7"/>
  <c r="C6"/>
  <c r="B39"/>
  <c r="B38"/>
  <c r="I38" s="1"/>
  <c r="C38" s="1"/>
  <c r="D38" s="1"/>
  <c r="B37"/>
  <c r="B34"/>
  <c r="B33"/>
  <c r="B32"/>
  <c r="B31"/>
  <c r="B30"/>
  <c r="B29"/>
  <c r="B28"/>
  <c r="B27"/>
  <c r="B24"/>
  <c r="B23"/>
  <c r="B22"/>
  <c r="B21"/>
  <c r="I21" s="1"/>
  <c r="C21" s="1"/>
  <c r="D21" s="1"/>
  <c r="B20"/>
  <c r="B19"/>
  <c r="B18"/>
  <c r="B17"/>
  <c r="I17" s="1"/>
  <c r="C17" s="1"/>
  <c r="D17" s="1"/>
  <c r="B16"/>
  <c r="B13"/>
  <c r="B10"/>
  <c r="B7"/>
  <c r="B6"/>
  <c r="D6" s="1"/>
  <c r="E56" l="1"/>
  <c r="E58" s="1"/>
  <c r="G57"/>
  <c r="B40"/>
  <c r="G7"/>
  <c r="G13"/>
  <c r="G19"/>
  <c r="G23"/>
  <c r="G27"/>
  <c r="G29"/>
  <c r="G31"/>
  <c r="G33"/>
  <c r="G37"/>
  <c r="G39"/>
  <c r="G6"/>
  <c r="G10"/>
  <c r="G16"/>
  <c r="G18"/>
  <c r="G20"/>
  <c r="G21"/>
  <c r="H21" s="1"/>
  <c r="G22"/>
  <c r="G24"/>
  <c r="G28"/>
  <c r="G30"/>
  <c r="G32"/>
  <c r="G34"/>
  <c r="G38"/>
  <c r="H38" s="1"/>
  <c r="D7"/>
  <c r="D33"/>
  <c r="D24"/>
  <c r="D34"/>
  <c r="L7"/>
  <c r="L17"/>
  <c r="L21"/>
  <c r="L33"/>
  <c r="I30"/>
  <c r="L6"/>
  <c r="L24"/>
  <c r="L34"/>
  <c r="L38"/>
  <c r="I13"/>
  <c r="C13" s="1"/>
  <c r="D13" s="1"/>
  <c r="I19"/>
  <c r="C19" s="1"/>
  <c r="D19" s="1"/>
  <c r="I23"/>
  <c r="C23" s="1"/>
  <c r="D23" s="1"/>
  <c r="I28"/>
  <c r="C28" s="1"/>
  <c r="D28" s="1"/>
  <c r="I32"/>
  <c r="I10"/>
  <c r="C10" s="1"/>
  <c r="I16"/>
  <c r="C16" s="1"/>
  <c r="D16" s="1"/>
  <c r="I18"/>
  <c r="C18" s="1"/>
  <c r="D18" s="1"/>
  <c r="I20"/>
  <c r="C20" s="1"/>
  <c r="D20" s="1"/>
  <c r="I22"/>
  <c r="C22" s="1"/>
  <c r="D22" s="1"/>
  <c r="I27"/>
  <c r="C27" s="1"/>
  <c r="D27" s="1"/>
  <c r="I29"/>
  <c r="C29" s="1"/>
  <c r="D29" s="1"/>
  <c r="I31"/>
  <c r="C31" s="1"/>
  <c r="D31" s="1"/>
  <c r="I37"/>
  <c r="C37" s="1"/>
  <c r="D37" s="1"/>
  <c r="I39"/>
  <c r="C39" s="1"/>
  <c r="D39" s="1"/>
  <c r="H34" l="1"/>
  <c r="O38"/>
  <c r="P38" s="1"/>
  <c r="Q38" s="1"/>
  <c r="H18"/>
  <c r="H39"/>
  <c r="H33"/>
  <c r="H29"/>
  <c r="H27"/>
  <c r="H23"/>
  <c r="H19"/>
  <c r="H13"/>
  <c r="H7"/>
  <c r="O7" s="1"/>
  <c r="P7" s="1"/>
  <c r="Q7" s="1"/>
  <c r="D10"/>
  <c r="H10" s="1"/>
  <c r="B45"/>
  <c r="B56"/>
  <c r="B58" s="1"/>
  <c r="H28"/>
  <c r="H22"/>
  <c r="H20"/>
  <c r="H16"/>
  <c r="H37"/>
  <c r="H31"/>
  <c r="H6"/>
  <c r="H24"/>
  <c r="O24" s="1"/>
  <c r="P24" s="1"/>
  <c r="Q24" s="1"/>
  <c r="G17"/>
  <c r="H17" s="1"/>
  <c r="O21"/>
  <c r="P21" s="1"/>
  <c r="Q21" s="1"/>
  <c r="O34"/>
  <c r="P34" s="1"/>
  <c r="Q34" s="1"/>
  <c r="O33"/>
  <c r="P33" s="1"/>
  <c r="Q33" s="1"/>
  <c r="C32"/>
  <c r="D32" s="1"/>
  <c r="H32" s="1"/>
  <c r="C30"/>
  <c r="D30" s="1"/>
  <c r="H30" s="1"/>
  <c r="F56" l="1"/>
  <c r="O30"/>
  <c r="P30" s="1"/>
  <c r="Q30" s="1"/>
  <c r="C40"/>
  <c r="D40"/>
  <c r="B49"/>
  <c r="O17"/>
  <c r="P17" s="1"/>
  <c r="Q17" s="1"/>
  <c r="G40"/>
  <c r="H40"/>
  <c r="O6"/>
  <c r="P6" s="1"/>
  <c r="Q6" s="1"/>
  <c r="O32"/>
  <c r="P32" s="1"/>
  <c r="Q32" s="1"/>
  <c r="L30"/>
  <c r="L32"/>
  <c r="O23"/>
  <c r="P23" s="1"/>
  <c r="Q23" s="1"/>
  <c r="L23"/>
  <c r="O18"/>
  <c r="P18" s="1"/>
  <c r="Q18" s="1"/>
  <c r="L18"/>
  <c r="O29"/>
  <c r="P29" s="1"/>
  <c r="Q29" s="1"/>
  <c r="L29"/>
  <c r="O28"/>
  <c r="P28" s="1"/>
  <c r="Q28" s="1"/>
  <c r="L28"/>
  <c r="O20"/>
  <c r="P20" s="1"/>
  <c r="Q20" s="1"/>
  <c r="L20"/>
  <c r="O31"/>
  <c r="P31" s="1"/>
  <c r="Q31" s="1"/>
  <c r="L31"/>
  <c r="O13"/>
  <c r="P13" s="1"/>
  <c r="Q13" s="1"/>
  <c r="L13"/>
  <c r="O19"/>
  <c r="P19" s="1"/>
  <c r="Q19" s="1"/>
  <c r="L19"/>
  <c r="O10"/>
  <c r="P10" s="1"/>
  <c r="Q10" s="1"/>
  <c r="L10"/>
  <c r="O22"/>
  <c r="P22" s="1"/>
  <c r="Q22" s="1"/>
  <c r="L22"/>
  <c r="O37"/>
  <c r="P37" s="1"/>
  <c r="Q37" s="1"/>
  <c r="L37"/>
  <c r="O16"/>
  <c r="P16" s="1"/>
  <c r="Q16" s="1"/>
  <c r="L16"/>
  <c r="O27"/>
  <c r="P27" s="1"/>
  <c r="Q27" s="1"/>
  <c r="L27"/>
  <c r="O39"/>
  <c r="P39" s="1"/>
  <c r="Q39" s="1"/>
  <c r="L39"/>
  <c r="D45" l="1"/>
  <c r="D49" s="1"/>
  <c r="D56"/>
  <c r="D58" s="1"/>
  <c r="C45"/>
  <c r="C49" s="1"/>
  <c r="C56"/>
  <c r="C58" s="1"/>
  <c r="G56"/>
  <c r="H56"/>
  <c r="X1" i="10"/>
  <c r="W1"/>
  <c r="V1"/>
  <c r="E90" i="1"/>
  <c r="D90"/>
  <c r="C90"/>
  <c r="C99" s="1"/>
  <c r="C111" s="1"/>
  <c r="G46" i="10"/>
  <c r="J46" s="1"/>
  <c r="G45"/>
  <c r="J45" s="1"/>
  <c r="G44"/>
  <c r="J44" s="1"/>
  <c r="G43"/>
  <c r="J43" s="1"/>
  <c r="G42"/>
  <c r="J42" s="1"/>
  <c r="G41"/>
  <c r="J41" s="1"/>
  <c r="G40"/>
  <c r="J40" s="1"/>
  <c r="G39"/>
  <c r="J39" s="1"/>
  <c r="F46"/>
  <c r="F45"/>
  <c r="F44"/>
  <c r="F43"/>
  <c r="F42"/>
  <c r="F41"/>
  <c r="F40"/>
  <c r="F39"/>
  <c r="C115" i="1"/>
  <c r="C100"/>
  <c r="C96"/>
  <c r="C93"/>
  <c r="C105" s="1"/>
  <c r="E88"/>
  <c r="D88"/>
  <c r="D87"/>
  <c r="E87" s="1"/>
  <c r="D86"/>
  <c r="E86" s="1"/>
  <c r="D85"/>
  <c r="E85" s="1"/>
  <c r="D84"/>
  <c r="E84" s="1"/>
  <c r="D83"/>
  <c r="E83" s="1"/>
  <c r="D82"/>
  <c r="E82" s="1"/>
  <c r="D81"/>
  <c r="E81" s="1"/>
  <c r="E80"/>
  <c r="D80"/>
  <c r="C88"/>
  <c r="B88"/>
  <c r="B38" i="10"/>
  <c r="E27" i="1"/>
  <c r="D27"/>
  <c r="C27"/>
  <c r="C94" l="1"/>
  <c r="C98"/>
  <c r="D94"/>
  <c r="D98"/>
  <c r="H44" i="10" s="1"/>
  <c r="K44" s="1"/>
  <c r="D96" i="1"/>
  <c r="C95"/>
  <c r="C107" s="1"/>
  <c r="C97"/>
  <c r="C109" s="1"/>
  <c r="D100"/>
  <c r="D112" s="1"/>
  <c r="H40" i="10"/>
  <c r="K40" s="1"/>
  <c r="E94" i="1"/>
  <c r="D106"/>
  <c r="H42" i="10"/>
  <c r="K42" s="1"/>
  <c r="E96" i="1"/>
  <c r="D108"/>
  <c r="C106"/>
  <c r="C108"/>
  <c r="C110"/>
  <c r="C112"/>
  <c r="D93"/>
  <c r="D97"/>
  <c r="D99"/>
  <c r="J38" i="10"/>
  <c r="V4" s="1"/>
  <c r="G38"/>
  <c r="E38" i="9"/>
  <c r="D38"/>
  <c r="C38"/>
  <c r="E38" i="8"/>
  <c r="D38"/>
  <c r="C38"/>
  <c r="C122" i="1" s="1"/>
  <c r="E38" i="7"/>
  <c r="D38"/>
  <c r="C38"/>
  <c r="E38" i="6"/>
  <c r="D38"/>
  <c r="C38"/>
  <c r="C120" i="1" s="1"/>
  <c r="E38" i="5"/>
  <c r="D38"/>
  <c r="C38"/>
  <c r="E38" i="4"/>
  <c r="D38"/>
  <c r="C38"/>
  <c r="C118" i="1" s="1"/>
  <c r="E38" i="3"/>
  <c r="D38"/>
  <c r="C38"/>
  <c r="E38" i="2"/>
  <c r="D38"/>
  <c r="D38" i="1" s="1"/>
  <c r="C38" i="2"/>
  <c r="C38" i="1" s="1"/>
  <c r="D95" l="1"/>
  <c r="C101"/>
  <c r="H46" i="10"/>
  <c r="K46" s="1"/>
  <c r="E100" i="1"/>
  <c r="D110"/>
  <c r="E98"/>
  <c r="I44" i="10" s="1"/>
  <c r="L44" s="1"/>
  <c r="C121" i="1"/>
  <c r="C117"/>
  <c r="C116"/>
  <c r="D123"/>
  <c r="M46" i="10" s="1"/>
  <c r="W5" s="1"/>
  <c r="D117" i="1"/>
  <c r="M40" i="10" s="1"/>
  <c r="E38" i="1"/>
  <c r="C123"/>
  <c r="C119"/>
  <c r="C124" s="1"/>
  <c r="D121"/>
  <c r="M44" i="10" s="1"/>
  <c r="D119" i="1"/>
  <c r="M42" i="10" s="1"/>
  <c r="E99" i="1"/>
  <c r="H45" i="10"/>
  <c r="K45" s="1"/>
  <c r="D111" i="1"/>
  <c r="D122" s="1"/>
  <c r="M45" i="10" s="1"/>
  <c r="E95" i="1"/>
  <c r="H41" i="10"/>
  <c r="K41" s="1"/>
  <c r="D107" i="1"/>
  <c r="D118" s="1"/>
  <c r="M41" i="10" s="1"/>
  <c r="E108" i="1"/>
  <c r="E119" s="1"/>
  <c r="I42" i="10"/>
  <c r="L42" s="1"/>
  <c r="E97" i="1"/>
  <c r="H43" i="10"/>
  <c r="K43" s="1"/>
  <c r="D109" i="1"/>
  <c r="D120" s="1"/>
  <c r="M43" i="10" s="1"/>
  <c r="E93" i="1"/>
  <c r="H39" i="10"/>
  <c r="D101" i="1"/>
  <c r="D105"/>
  <c r="I46" i="10"/>
  <c r="L46" s="1"/>
  <c r="E112" i="1"/>
  <c r="E123" s="1"/>
  <c r="E106"/>
  <c r="E117" s="1"/>
  <c r="I40" i="10"/>
  <c r="L40" s="1"/>
  <c r="C113" i="1"/>
  <c r="J30" i="10"/>
  <c r="I30"/>
  <c r="J29"/>
  <c r="I29"/>
  <c r="J28"/>
  <c r="I28"/>
  <c r="J27"/>
  <c r="I27"/>
  <c r="J26"/>
  <c r="I26"/>
  <c r="J25"/>
  <c r="I25"/>
  <c r="J24"/>
  <c r="I24"/>
  <c r="J23"/>
  <c r="J31" s="1"/>
  <c r="I23"/>
  <c r="I31" s="1"/>
  <c r="H30"/>
  <c r="H29"/>
  <c r="H28"/>
  <c r="H27"/>
  <c r="H26"/>
  <c r="H25"/>
  <c r="H24"/>
  <c r="H23"/>
  <c r="C38"/>
  <c r="D45"/>
  <c r="C45"/>
  <c r="D44"/>
  <c r="C44"/>
  <c r="D43"/>
  <c r="C43"/>
  <c r="D42"/>
  <c r="C42"/>
  <c r="D41"/>
  <c r="C41"/>
  <c r="D40"/>
  <c r="C40"/>
  <c r="D39"/>
  <c r="C39"/>
  <c r="D38"/>
  <c r="B45"/>
  <c r="B44"/>
  <c r="B43"/>
  <c r="B42"/>
  <c r="B41"/>
  <c r="B40"/>
  <c r="B39"/>
  <c r="D37"/>
  <c r="C37"/>
  <c r="B37"/>
  <c r="B33" i="9"/>
  <c r="C32"/>
  <c r="D32"/>
  <c r="E32"/>
  <c r="B33" i="8"/>
  <c r="B33" i="7"/>
  <c r="B33" i="6"/>
  <c r="B33" i="5"/>
  <c r="B33" i="4"/>
  <c r="B33" i="3"/>
  <c r="D10" i="9"/>
  <c r="E10" s="1"/>
  <c r="E30" s="1"/>
  <c r="D10" i="8"/>
  <c r="E10" s="1"/>
  <c r="E30" s="1"/>
  <c r="D10" i="7"/>
  <c r="E10" s="1"/>
  <c r="E30" s="1"/>
  <c r="D10" i="6"/>
  <c r="E10" s="1"/>
  <c r="E30" s="1"/>
  <c r="D10" i="5"/>
  <c r="E10" s="1"/>
  <c r="E30" s="1"/>
  <c r="E10" i="4"/>
  <c r="D10"/>
  <c r="E10" i="3"/>
  <c r="D10"/>
  <c r="E30" i="4"/>
  <c r="E42" i="9"/>
  <c r="D42"/>
  <c r="C42"/>
  <c r="B42"/>
  <c r="E35"/>
  <c r="D35"/>
  <c r="C35"/>
  <c r="B35"/>
  <c r="B40" s="1"/>
  <c r="D30"/>
  <c r="C30"/>
  <c r="B30"/>
  <c r="E26"/>
  <c r="D26"/>
  <c r="C26"/>
  <c r="B26"/>
  <c r="E42" i="8"/>
  <c r="D42"/>
  <c r="C42"/>
  <c r="B42"/>
  <c r="E35"/>
  <c r="D35"/>
  <c r="C35"/>
  <c r="B35"/>
  <c r="B40" s="1"/>
  <c r="C32"/>
  <c r="D31"/>
  <c r="C30"/>
  <c r="E31" s="1"/>
  <c r="B30"/>
  <c r="B28"/>
  <c r="B29" s="1"/>
  <c r="E26"/>
  <c r="D26"/>
  <c r="C26"/>
  <c r="B26"/>
  <c r="E42" i="7"/>
  <c r="D42"/>
  <c r="C42"/>
  <c r="B42"/>
  <c r="E35"/>
  <c r="D35"/>
  <c r="C35"/>
  <c r="B35"/>
  <c r="B40" s="1"/>
  <c r="C32"/>
  <c r="D31"/>
  <c r="D30"/>
  <c r="D32" s="1"/>
  <c r="C30"/>
  <c r="E31" s="1"/>
  <c r="B30"/>
  <c r="B28"/>
  <c r="B29" s="1"/>
  <c r="E26"/>
  <c r="D26"/>
  <c r="C26"/>
  <c r="B26"/>
  <c r="E42" i="6"/>
  <c r="D42"/>
  <c r="C42"/>
  <c r="B42"/>
  <c r="E35"/>
  <c r="D35"/>
  <c r="C35"/>
  <c r="B35"/>
  <c r="B40" s="1"/>
  <c r="C32"/>
  <c r="D31"/>
  <c r="D30"/>
  <c r="D32" s="1"/>
  <c r="C30"/>
  <c r="E31" s="1"/>
  <c r="B30"/>
  <c r="B28"/>
  <c r="B29" s="1"/>
  <c r="E26"/>
  <c r="D26"/>
  <c r="C26"/>
  <c r="B26"/>
  <c r="E42" i="5"/>
  <c r="D42"/>
  <c r="C42"/>
  <c r="B42"/>
  <c r="E35"/>
  <c r="D35"/>
  <c r="C35"/>
  <c r="B35"/>
  <c r="B40" s="1"/>
  <c r="D30"/>
  <c r="C30"/>
  <c r="C32" s="1"/>
  <c r="B30"/>
  <c r="E26"/>
  <c r="D26"/>
  <c r="C26"/>
  <c r="B26"/>
  <c r="E42" i="4"/>
  <c r="D42"/>
  <c r="C42"/>
  <c r="B42"/>
  <c r="E35"/>
  <c r="D35"/>
  <c r="C35"/>
  <c r="B35"/>
  <c r="B40" s="1"/>
  <c r="D30"/>
  <c r="C30"/>
  <c r="C32" s="1"/>
  <c r="B30"/>
  <c r="E26"/>
  <c r="D26"/>
  <c r="C26"/>
  <c r="B26"/>
  <c r="E42" i="3"/>
  <c r="D42"/>
  <c r="C42"/>
  <c r="B42"/>
  <c r="E35"/>
  <c r="D35"/>
  <c r="C35"/>
  <c r="B35"/>
  <c r="B40" s="1"/>
  <c r="D30"/>
  <c r="C30"/>
  <c r="C32" s="1"/>
  <c r="B30"/>
  <c r="E26"/>
  <c r="D26"/>
  <c r="C26"/>
  <c r="B26"/>
  <c r="E31" i="2"/>
  <c r="E32"/>
  <c r="D32"/>
  <c r="C32"/>
  <c r="D31"/>
  <c r="E10"/>
  <c r="D10"/>
  <c r="E7" i="1"/>
  <c r="D7"/>
  <c r="C7"/>
  <c r="E14" i="9"/>
  <c r="D14"/>
  <c r="E14" i="8"/>
  <c r="D14"/>
  <c r="E14" i="7"/>
  <c r="D14"/>
  <c r="E14" i="6"/>
  <c r="D14"/>
  <c r="E14" i="5"/>
  <c r="D14"/>
  <c r="E14" i="4"/>
  <c r="D14"/>
  <c r="D14" i="3"/>
  <c r="E14" s="1"/>
  <c r="E15" s="1"/>
  <c r="E21" i="5"/>
  <c r="D21"/>
  <c r="E36" i="1"/>
  <c r="E36" i="3" s="1"/>
  <c r="D36" i="1"/>
  <c r="D36" i="3" s="1"/>
  <c r="C36" i="1"/>
  <c r="C36" i="3" s="1"/>
  <c r="E27" i="5"/>
  <c r="D27"/>
  <c r="C27"/>
  <c r="D27" i="2"/>
  <c r="B48"/>
  <c r="C42"/>
  <c r="B42"/>
  <c r="B40"/>
  <c r="C35"/>
  <c r="B35"/>
  <c r="E30"/>
  <c r="D30"/>
  <c r="C30"/>
  <c r="B30"/>
  <c r="C26"/>
  <c r="B26"/>
  <c r="E20" i="1"/>
  <c r="D20"/>
  <c r="C20"/>
  <c r="B20"/>
  <c r="E19"/>
  <c r="D19"/>
  <c r="C19"/>
  <c r="B19"/>
  <c r="E18"/>
  <c r="D18"/>
  <c r="C18"/>
  <c r="B18"/>
  <c r="E17"/>
  <c r="D17"/>
  <c r="C17"/>
  <c r="B17"/>
  <c r="B21" s="1"/>
  <c r="B42" s="1"/>
  <c r="D14"/>
  <c r="C14"/>
  <c r="C10"/>
  <c r="C30" s="1"/>
  <c r="E31" s="1"/>
  <c r="B7"/>
  <c r="C6"/>
  <c r="B6"/>
  <c r="C5"/>
  <c r="B14"/>
  <c r="B10"/>
  <c r="B30" s="1"/>
  <c r="B5"/>
  <c r="E21" i="8"/>
  <c r="D21"/>
  <c r="C21"/>
  <c r="B21"/>
  <c r="E15"/>
  <c r="D15"/>
  <c r="C15"/>
  <c r="B15"/>
  <c r="C8"/>
  <c r="C11" s="1"/>
  <c r="B8"/>
  <c r="B11" s="1"/>
  <c r="E21" i="7"/>
  <c r="D21"/>
  <c r="C21"/>
  <c r="B21"/>
  <c r="E15"/>
  <c r="D15"/>
  <c r="C15"/>
  <c r="B15"/>
  <c r="C8"/>
  <c r="C11" s="1"/>
  <c r="B8"/>
  <c r="B11" s="1"/>
  <c r="E21" i="6"/>
  <c r="D21"/>
  <c r="C21"/>
  <c r="B21"/>
  <c r="E15"/>
  <c r="D15"/>
  <c r="C15"/>
  <c r="B15"/>
  <c r="C8"/>
  <c r="C11" s="1"/>
  <c r="B8"/>
  <c r="B11" s="1"/>
  <c r="C21" i="5"/>
  <c r="B21"/>
  <c r="E15"/>
  <c r="D15"/>
  <c r="C15"/>
  <c r="B15"/>
  <c r="C8"/>
  <c r="C11" s="1"/>
  <c r="B8"/>
  <c r="B11" s="1"/>
  <c r="E21" i="4"/>
  <c r="D21"/>
  <c r="C21"/>
  <c r="B21"/>
  <c r="E15"/>
  <c r="D15"/>
  <c r="C15"/>
  <c r="B15"/>
  <c r="C8"/>
  <c r="C11" s="1"/>
  <c r="B8"/>
  <c r="B11" s="1"/>
  <c r="E21" i="3"/>
  <c r="D21"/>
  <c r="C21"/>
  <c r="B21"/>
  <c r="D15"/>
  <c r="C15"/>
  <c r="B15"/>
  <c r="C8"/>
  <c r="C11" s="1"/>
  <c r="B8"/>
  <c r="B11" s="1"/>
  <c r="E21" i="2"/>
  <c r="E42" s="1"/>
  <c r="D21"/>
  <c r="D42" s="1"/>
  <c r="C21"/>
  <c r="B21"/>
  <c r="D15"/>
  <c r="D35" s="1"/>
  <c r="C15"/>
  <c r="B15"/>
  <c r="C8"/>
  <c r="C11" s="1"/>
  <c r="C23" s="1"/>
  <c r="B8"/>
  <c r="B11" s="1"/>
  <c r="B23" s="1"/>
  <c r="E21" i="9"/>
  <c r="D21"/>
  <c r="C21"/>
  <c r="E15"/>
  <c r="D15"/>
  <c r="C15"/>
  <c r="C8"/>
  <c r="C11" s="1"/>
  <c r="B8"/>
  <c r="B15"/>
  <c r="B21"/>
  <c r="E110" i="1" l="1"/>
  <c r="E121" s="1"/>
  <c r="N40" i="10"/>
  <c r="F117" i="1"/>
  <c r="O40" i="10" s="1"/>
  <c r="I39"/>
  <c r="E105" i="1"/>
  <c r="E101"/>
  <c r="N42" i="10"/>
  <c r="F119" i="1"/>
  <c r="O42" i="10" s="1"/>
  <c r="I45"/>
  <c r="L45" s="1"/>
  <c r="E111" i="1"/>
  <c r="E122" s="1"/>
  <c r="N46" i="10"/>
  <c r="X5" s="1"/>
  <c r="F123" i="1"/>
  <c r="O46" i="10" s="1"/>
  <c r="Y5" s="1"/>
  <c r="D116" i="1"/>
  <c r="D113"/>
  <c r="H38" i="10"/>
  <c r="K39"/>
  <c r="K38" s="1"/>
  <c r="I43"/>
  <c r="L43" s="1"/>
  <c r="E109" i="1"/>
  <c r="E120" s="1"/>
  <c r="N44" i="10"/>
  <c r="F121" i="1"/>
  <c r="O44" i="10" s="1"/>
  <c r="I41"/>
  <c r="L41" s="1"/>
  <c r="E107" i="1"/>
  <c r="E118" s="1"/>
  <c r="H31" i="10"/>
  <c r="D27" i="4"/>
  <c r="D28" s="1"/>
  <c r="D29" s="1"/>
  <c r="D33" s="1"/>
  <c r="C25" i="10" s="1"/>
  <c r="D27" i="6"/>
  <c r="D28" s="1"/>
  <c r="D29" s="1"/>
  <c r="D33" s="1"/>
  <c r="C27" i="10" s="1"/>
  <c r="D27" i="7"/>
  <c r="D28" s="1"/>
  <c r="D29" s="1"/>
  <c r="D33" s="1"/>
  <c r="C28" i="10" s="1"/>
  <c r="D27" i="8"/>
  <c r="D28" s="1"/>
  <c r="D29" s="1"/>
  <c r="D33" s="1"/>
  <c r="C29" i="10" s="1"/>
  <c r="E36" i="9"/>
  <c r="C36" i="8"/>
  <c r="E36"/>
  <c r="D36" i="7"/>
  <c r="C36" i="6"/>
  <c r="E36"/>
  <c r="D36" i="5"/>
  <c r="D37" s="1"/>
  <c r="C36" i="4"/>
  <c r="C37" s="1"/>
  <c r="C39" s="1"/>
  <c r="D61" i="1" s="1"/>
  <c r="E36" i="4"/>
  <c r="C36" i="2"/>
  <c r="E36"/>
  <c r="D27" i="9"/>
  <c r="D28" s="1"/>
  <c r="D29" s="1"/>
  <c r="D33" s="1"/>
  <c r="C30" i="10" s="1"/>
  <c r="C27" i="2"/>
  <c r="D36" i="9"/>
  <c r="D37" s="1"/>
  <c r="D39" s="1"/>
  <c r="I62" i="1" s="1"/>
  <c r="C36" i="9"/>
  <c r="C37" s="1"/>
  <c r="C39" s="1"/>
  <c r="I61" i="1" s="1"/>
  <c r="D36" i="8"/>
  <c r="D37" s="1"/>
  <c r="C36" i="7"/>
  <c r="E36"/>
  <c r="D36" i="6"/>
  <c r="C36" i="5"/>
  <c r="C37" s="1"/>
  <c r="E36"/>
  <c r="D36" i="4"/>
  <c r="D37" s="1"/>
  <c r="D39" s="1"/>
  <c r="D62" i="1" s="1"/>
  <c r="D36" i="2"/>
  <c r="D37" s="1"/>
  <c r="E32" i="8"/>
  <c r="D30"/>
  <c r="D32" s="1"/>
  <c r="E32" i="7"/>
  <c r="E32" i="6"/>
  <c r="E10" i="1"/>
  <c r="E30" s="1"/>
  <c r="E32" s="1"/>
  <c r="E30" i="3"/>
  <c r="D31" i="1"/>
  <c r="C32"/>
  <c r="D10"/>
  <c r="D30" s="1"/>
  <c r="D32" s="1"/>
  <c r="C27" i="3"/>
  <c r="E27" i="2"/>
  <c r="D27" i="3"/>
  <c r="C37"/>
  <c r="C39" s="1"/>
  <c r="C61" i="1" s="1"/>
  <c r="C27" i="4"/>
  <c r="E27"/>
  <c r="E28" s="1"/>
  <c r="E29" s="1"/>
  <c r="E33" s="1"/>
  <c r="D25" i="10" s="1"/>
  <c r="C27" i="6"/>
  <c r="E27"/>
  <c r="E28" s="1"/>
  <c r="E29" s="1"/>
  <c r="E33" s="1"/>
  <c r="D27" i="10" s="1"/>
  <c r="C27" i="7"/>
  <c r="C28" s="1"/>
  <c r="C29" s="1"/>
  <c r="C33" s="1"/>
  <c r="B28" i="10" s="1"/>
  <c r="E27" i="7"/>
  <c r="E28" s="1"/>
  <c r="E29" s="1"/>
  <c r="E33" s="1"/>
  <c r="D28" i="10" s="1"/>
  <c r="C27" i="8"/>
  <c r="E27"/>
  <c r="E28" s="1"/>
  <c r="E29" s="1"/>
  <c r="E33" s="1"/>
  <c r="D29" i="10" s="1"/>
  <c r="C27" i="9"/>
  <c r="C28" s="1"/>
  <c r="C29" s="1"/>
  <c r="C33" s="1"/>
  <c r="B30" i="10" s="1"/>
  <c r="E27" i="9"/>
  <c r="E28" s="1"/>
  <c r="E29" s="1"/>
  <c r="E33" s="1"/>
  <c r="D30" i="10" s="1"/>
  <c r="E27" i="3"/>
  <c r="D37"/>
  <c r="D39" s="1"/>
  <c r="C62" i="1" s="1"/>
  <c r="D37" i="6"/>
  <c r="D39" s="1"/>
  <c r="F62" i="1" s="1"/>
  <c r="D37" i="7"/>
  <c r="D39" s="1"/>
  <c r="G62" i="1" s="1"/>
  <c r="C40" i="9"/>
  <c r="E31"/>
  <c r="B28"/>
  <c r="B29" s="1"/>
  <c r="B44" s="1"/>
  <c r="D31"/>
  <c r="B44" i="8"/>
  <c r="C37"/>
  <c r="C39" s="1"/>
  <c r="H61" i="1" s="1"/>
  <c r="C28" i="8"/>
  <c r="C29" s="1"/>
  <c r="C33" s="1"/>
  <c r="B29" i="10" s="1"/>
  <c r="B44" i="7"/>
  <c r="C37"/>
  <c r="C39" s="1"/>
  <c r="G61" i="1" s="1"/>
  <c r="B44" i="6"/>
  <c r="C37"/>
  <c r="C39" s="1"/>
  <c r="F61" i="1" s="1"/>
  <c r="C28" i="6"/>
  <c r="C29" s="1"/>
  <c r="C33" s="1"/>
  <c r="B27" i="10" s="1"/>
  <c r="E32" i="5"/>
  <c r="C28"/>
  <c r="C29" s="1"/>
  <c r="C33" s="1"/>
  <c r="B26" i="10" s="1"/>
  <c r="E28" i="5"/>
  <c r="E29" s="1"/>
  <c r="E33" s="1"/>
  <c r="D26" i="10" s="1"/>
  <c r="E31" i="5"/>
  <c r="B28"/>
  <c r="B29" s="1"/>
  <c r="B44" s="1"/>
  <c r="D28"/>
  <c r="D29" s="1"/>
  <c r="D33" s="1"/>
  <c r="C26" i="10" s="1"/>
  <c r="D31" i="5"/>
  <c r="D32" s="1"/>
  <c r="C28" i="4"/>
  <c r="C29" s="1"/>
  <c r="C33" s="1"/>
  <c r="B25" i="10" s="1"/>
  <c r="E31" i="4"/>
  <c r="E32" s="1"/>
  <c r="B28"/>
  <c r="B29" s="1"/>
  <c r="B44" s="1"/>
  <c r="D31"/>
  <c r="D32" s="1"/>
  <c r="C28" i="3"/>
  <c r="C29" s="1"/>
  <c r="C33" s="1"/>
  <c r="B24" i="10" s="1"/>
  <c r="E28" i="3"/>
  <c r="E29" s="1"/>
  <c r="E33" s="1"/>
  <c r="D24" i="10" s="1"/>
  <c r="E31" i="3"/>
  <c r="E32" s="1"/>
  <c r="B28"/>
  <c r="B29" s="1"/>
  <c r="B44" s="1"/>
  <c r="D28"/>
  <c r="D29" s="1"/>
  <c r="D33" s="1"/>
  <c r="C24" i="10" s="1"/>
  <c r="D31" i="3"/>
  <c r="D32" s="1"/>
  <c r="B18" i="10"/>
  <c r="C18" s="1"/>
  <c r="D15" i="1"/>
  <c r="D35" s="1"/>
  <c r="E21"/>
  <c r="D21"/>
  <c r="D42" s="1"/>
  <c r="I22" i="10" s="1"/>
  <c r="E42" i="1"/>
  <c r="J22" i="10" s="1"/>
  <c r="D8" i="2"/>
  <c r="D11" s="1"/>
  <c r="B11" i="9"/>
  <c r="B23" s="1"/>
  <c r="C23" i="8"/>
  <c r="B23"/>
  <c r="C23" i="7"/>
  <c r="B23"/>
  <c r="C23" i="6"/>
  <c r="B23"/>
  <c r="C23" i="5"/>
  <c r="B23"/>
  <c r="C23" i="4"/>
  <c r="B23"/>
  <c r="C23" i="3"/>
  <c r="C21" i="1"/>
  <c r="C42" s="1"/>
  <c r="H22" i="10" s="1"/>
  <c r="C15" i="1"/>
  <c r="C35" s="1"/>
  <c r="C8"/>
  <c r="C26" s="1"/>
  <c r="C11"/>
  <c r="B15"/>
  <c r="B35" s="1"/>
  <c r="B40" s="1"/>
  <c r="B23" i="3"/>
  <c r="B11" i="1"/>
  <c r="E14"/>
  <c r="E15" i="2"/>
  <c r="D23"/>
  <c r="D26"/>
  <c r="D28" s="1"/>
  <c r="B29"/>
  <c r="B33" s="1"/>
  <c r="B44" s="1"/>
  <c r="B45" s="1"/>
  <c r="B28"/>
  <c r="C37"/>
  <c r="C28"/>
  <c r="B8" i="1"/>
  <c r="B26" s="1"/>
  <c r="B28" s="1"/>
  <c r="B29" s="1"/>
  <c r="B33" s="1"/>
  <c r="C23" i="9"/>
  <c r="W4" i="10" l="1"/>
  <c r="F43" i="12"/>
  <c r="N41" i="10"/>
  <c r="F118" i="1"/>
  <c r="O41" i="10" s="1"/>
  <c r="N43"/>
  <c r="F120" i="1"/>
  <c r="O43" i="10" s="1"/>
  <c r="N45"/>
  <c r="F122" i="1"/>
  <c r="O45" i="10" s="1"/>
  <c r="L39"/>
  <c r="L38" s="1"/>
  <c r="X4" s="1"/>
  <c r="I38"/>
  <c r="M39"/>
  <c r="D124" i="1"/>
  <c r="M38" i="10" s="1"/>
  <c r="E113" i="1"/>
  <c r="E116"/>
  <c r="C40" i="4"/>
  <c r="C53" s="1"/>
  <c r="N11" i="10" s="1"/>
  <c r="C53" i="9"/>
  <c r="N16" i="10" s="1"/>
  <c r="E30"/>
  <c r="K30" s="1"/>
  <c r="C39" i="5"/>
  <c r="E61" i="1" s="1"/>
  <c r="C40" i="5"/>
  <c r="D39"/>
  <c r="E62" i="1" s="1"/>
  <c r="D40" i="5"/>
  <c r="E37" i="4"/>
  <c r="E40" s="1"/>
  <c r="E44" s="1"/>
  <c r="D11" i="10" s="1"/>
  <c r="E37" i="8"/>
  <c r="D39"/>
  <c r="H62" i="1" s="1"/>
  <c r="D40" i="8"/>
  <c r="C28" i="1"/>
  <c r="C29" s="1"/>
  <c r="C33" s="1"/>
  <c r="B22" i="10" s="1"/>
  <c r="D28" i="1"/>
  <c r="C40" i="3"/>
  <c r="E37" i="6"/>
  <c r="C37" i="1"/>
  <c r="C40" s="1"/>
  <c r="E22" i="10" s="1"/>
  <c r="E37" i="7"/>
  <c r="E37" i="9"/>
  <c r="E40" s="1"/>
  <c r="E37" i="2"/>
  <c r="D37" i="1"/>
  <c r="D40" s="1"/>
  <c r="F22" i="10" s="1"/>
  <c r="E37" i="5"/>
  <c r="D40" i="9"/>
  <c r="D40" i="4"/>
  <c r="D44" s="1"/>
  <c r="C11" i="10" s="1"/>
  <c r="E37" i="3"/>
  <c r="D40"/>
  <c r="D40" i="7"/>
  <c r="F28" i="10" s="1"/>
  <c r="L28" s="1"/>
  <c r="D40" i="6"/>
  <c r="F27" i="10" s="1"/>
  <c r="L27" s="1"/>
  <c r="B48" i="9"/>
  <c r="B45"/>
  <c r="C52"/>
  <c r="K16" i="10" s="1"/>
  <c r="C44" i="9"/>
  <c r="B16" i="10" s="1"/>
  <c r="C52" i="8"/>
  <c r="K15" i="10" s="1"/>
  <c r="B48" i="8"/>
  <c r="B45"/>
  <c r="E40"/>
  <c r="C40"/>
  <c r="C52" i="7"/>
  <c r="K14" i="10" s="1"/>
  <c r="B48" i="7"/>
  <c r="B45"/>
  <c r="C40"/>
  <c r="C52" i="6"/>
  <c r="K13" i="10" s="1"/>
  <c r="B48" i="6"/>
  <c r="B45"/>
  <c r="C40"/>
  <c r="D44" i="5"/>
  <c r="C12" i="10" s="1"/>
  <c r="B48" i="5"/>
  <c r="B45"/>
  <c r="C52"/>
  <c r="K12" i="10" s="1"/>
  <c r="C44" i="5"/>
  <c r="B12" i="10" s="1"/>
  <c r="E40" i="5"/>
  <c r="B48" i="4"/>
  <c r="B45"/>
  <c r="C52"/>
  <c r="K11" i="10" s="1"/>
  <c r="C44" i="4"/>
  <c r="B11" i="10" s="1"/>
  <c r="B48" i="3"/>
  <c r="B45"/>
  <c r="C52"/>
  <c r="K10" i="10" s="1"/>
  <c r="C44" i="3"/>
  <c r="B10" i="10" s="1"/>
  <c r="D44" i="3"/>
  <c r="C10" i="10" s="1"/>
  <c r="C29" i="2"/>
  <c r="C33" s="1"/>
  <c r="B23" i="10" s="1"/>
  <c r="B31" s="1"/>
  <c r="D29" i="2"/>
  <c r="D33" s="1"/>
  <c r="C23" i="10" s="1"/>
  <c r="C31" s="1"/>
  <c r="C40" i="2"/>
  <c r="E23" i="10" s="1"/>
  <c r="D40" i="2"/>
  <c r="C52" i="1"/>
  <c r="K8" i="10" s="1"/>
  <c r="E15" i="1"/>
  <c r="E35" s="1"/>
  <c r="E8" i="8"/>
  <c r="D8"/>
  <c r="E8" i="4"/>
  <c r="D8"/>
  <c r="D8" i="3"/>
  <c r="E8" i="7"/>
  <c r="D8"/>
  <c r="E8" i="6"/>
  <c r="D8"/>
  <c r="E6" i="1"/>
  <c r="D6"/>
  <c r="E8" i="9"/>
  <c r="E11" s="1"/>
  <c r="E23" s="1"/>
  <c r="D8"/>
  <c r="E8" i="5"/>
  <c r="D8"/>
  <c r="D5" i="1"/>
  <c r="E11" i="8"/>
  <c r="E23" s="1"/>
  <c r="E11" i="7"/>
  <c r="E23" s="1"/>
  <c r="E11" i="4"/>
  <c r="E23" s="1"/>
  <c r="B44" i="1"/>
  <c r="C23"/>
  <c r="B23"/>
  <c r="C39" i="2"/>
  <c r="B61" i="1" s="1"/>
  <c r="J61" s="1"/>
  <c r="D39" i="2"/>
  <c r="B62" i="1" s="1"/>
  <c r="E8" i="2"/>
  <c r="E35"/>
  <c r="G43" i="12" l="1"/>
  <c r="F55"/>
  <c r="F58" s="1"/>
  <c r="F45"/>
  <c r="F49" s="1"/>
  <c r="E4" i="10"/>
  <c r="E4" i="11"/>
  <c r="K33" i="10"/>
  <c r="V2"/>
  <c r="N39"/>
  <c r="F116" i="1"/>
  <c r="E124"/>
  <c r="C53"/>
  <c r="N8" i="10" s="1"/>
  <c r="E25"/>
  <c r="K25" s="1"/>
  <c r="E39" i="9"/>
  <c r="I63" i="1" s="1"/>
  <c r="E39" i="5"/>
  <c r="E63" i="1" s="1"/>
  <c r="E39" i="4"/>
  <c r="D63" i="1" s="1"/>
  <c r="E39" i="7"/>
  <c r="G63" i="1" s="1"/>
  <c r="E39" i="6"/>
  <c r="F63" i="1" s="1"/>
  <c r="E39" i="8"/>
  <c r="H63" i="1" s="1"/>
  <c r="E40" i="6"/>
  <c r="G27" i="10" s="1"/>
  <c r="M27" s="1"/>
  <c r="D53" i="2"/>
  <c r="O9" i="10" s="1"/>
  <c r="F23"/>
  <c r="K23"/>
  <c r="E53" i="6"/>
  <c r="P13" i="10" s="1"/>
  <c r="C53" i="7"/>
  <c r="N14" i="10" s="1"/>
  <c r="E28"/>
  <c r="K28" s="1"/>
  <c r="C53" i="8"/>
  <c r="N15" i="10" s="1"/>
  <c r="E29"/>
  <c r="K29" s="1"/>
  <c r="D53" i="3"/>
  <c r="O10" i="10" s="1"/>
  <c r="F24"/>
  <c r="L24" s="1"/>
  <c r="D53" i="4"/>
  <c r="O11" i="10" s="1"/>
  <c r="F25"/>
  <c r="L25" s="1"/>
  <c r="C53" i="3"/>
  <c r="N10" i="10" s="1"/>
  <c r="E24"/>
  <c r="K24" s="1"/>
  <c r="K22"/>
  <c r="E53" i="5"/>
  <c r="P12" i="10" s="1"/>
  <c r="G26"/>
  <c r="M26" s="1"/>
  <c r="C53" i="6"/>
  <c r="N13" i="10" s="1"/>
  <c r="E27"/>
  <c r="K27" s="1"/>
  <c r="E53" i="8"/>
  <c r="P15" i="10" s="1"/>
  <c r="G29"/>
  <c r="M29" s="1"/>
  <c r="D53" i="9"/>
  <c r="O16" i="10" s="1"/>
  <c r="F30"/>
  <c r="L30" s="1"/>
  <c r="E53" i="9"/>
  <c r="P16" i="10" s="1"/>
  <c r="G30"/>
  <c r="M30" s="1"/>
  <c r="E53" i="4"/>
  <c r="P11" i="10" s="1"/>
  <c r="G25"/>
  <c r="M25" s="1"/>
  <c r="D53" i="8"/>
  <c r="O15" i="10" s="1"/>
  <c r="F29"/>
  <c r="L29" s="1"/>
  <c r="D53" i="5"/>
  <c r="O12" i="10" s="1"/>
  <c r="F26"/>
  <c r="L26" s="1"/>
  <c r="C53" i="5"/>
  <c r="N12" i="10" s="1"/>
  <c r="E26"/>
  <c r="K26" s="1"/>
  <c r="E44" i="9"/>
  <c r="D16" i="10" s="1"/>
  <c r="E40" i="7"/>
  <c r="D44" i="8"/>
  <c r="C15" i="10" s="1"/>
  <c r="E37" i="1"/>
  <c r="E40" s="1"/>
  <c r="G22" i="10" s="1"/>
  <c r="E44" i="8"/>
  <c r="D15" i="10" s="1"/>
  <c r="D44" i="9"/>
  <c r="C16" i="10" s="1"/>
  <c r="E39" i="3"/>
  <c r="E40"/>
  <c r="G24" i="10" s="1"/>
  <c r="M24" s="1"/>
  <c r="E52" i="9"/>
  <c r="M16" i="10" s="1"/>
  <c r="E52" i="8"/>
  <c r="M15" i="10" s="1"/>
  <c r="E52" i="7"/>
  <c r="M14" i="10" s="1"/>
  <c r="E52" i="4"/>
  <c r="M11" i="10" s="1"/>
  <c r="D53" i="6"/>
  <c r="O13" i="10" s="1"/>
  <c r="D44" i="6"/>
  <c r="C13" i="10" s="1"/>
  <c r="D53" i="7"/>
  <c r="O14" i="10" s="1"/>
  <c r="D44" i="7"/>
  <c r="C14" i="10" s="1"/>
  <c r="C44" i="1"/>
  <c r="C45" s="1"/>
  <c r="E44" i="5"/>
  <c r="D12" i="10" s="1"/>
  <c r="E44" i="6"/>
  <c r="D13" i="10" s="1"/>
  <c r="C48" i="9"/>
  <c r="C45"/>
  <c r="C44" i="8"/>
  <c r="B15" i="10" s="1"/>
  <c r="C44" i="7"/>
  <c r="B14" i="10" s="1"/>
  <c r="C44" i="6"/>
  <c r="B13" i="10" s="1"/>
  <c r="C48" i="5"/>
  <c r="C45"/>
  <c r="C48" i="4"/>
  <c r="C45"/>
  <c r="E48"/>
  <c r="G11" i="10" s="1"/>
  <c r="E45" i="4"/>
  <c r="C48" i="3"/>
  <c r="C45"/>
  <c r="C48" i="1"/>
  <c r="E8" i="10" s="1"/>
  <c r="B48" i="1"/>
  <c r="C53" i="2"/>
  <c r="N9" i="10" s="1"/>
  <c r="B45" i="1"/>
  <c r="D53"/>
  <c r="O8" i="10" s="1"/>
  <c r="E11" i="5"/>
  <c r="E5" i="1"/>
  <c r="E8" s="1"/>
  <c r="E26" s="1"/>
  <c r="E11" i="6"/>
  <c r="D8" i="1"/>
  <c r="D26" s="1"/>
  <c r="D29" s="1"/>
  <c r="D33" s="1"/>
  <c r="C22" i="10" s="1"/>
  <c r="L22" s="1"/>
  <c r="D11" i="7"/>
  <c r="D11" i="3"/>
  <c r="D52" s="1"/>
  <c r="L10" i="10" s="1"/>
  <c r="D11" i="4"/>
  <c r="D11" i="8"/>
  <c r="D11" i="5"/>
  <c r="D11" i="9"/>
  <c r="D11" i="6"/>
  <c r="E8" i="3"/>
  <c r="E11" i="2"/>
  <c r="E26"/>
  <c r="E28" s="1"/>
  <c r="E28" i="1" s="1"/>
  <c r="E29" s="1"/>
  <c r="E33" s="1"/>
  <c r="D22" i="10" s="1"/>
  <c r="H43" i="12" l="1"/>
  <c r="G55"/>
  <c r="G58" s="1"/>
  <c r="G45"/>
  <c r="G49" s="1"/>
  <c r="O33" i="10"/>
  <c r="W3"/>
  <c r="N33"/>
  <c r="V3"/>
  <c r="E125" i="1"/>
  <c r="N38" i="10"/>
  <c r="O39"/>
  <c r="F124" i="1"/>
  <c r="O38" i="10" s="1"/>
  <c r="J62" i="1"/>
  <c r="C63"/>
  <c r="E45" i="9"/>
  <c r="E48"/>
  <c r="G16" i="10" s="1"/>
  <c r="M22"/>
  <c r="K31"/>
  <c r="E53" i="7"/>
  <c r="P14" i="10" s="1"/>
  <c r="G28"/>
  <c r="M28" s="1"/>
  <c r="L23"/>
  <c r="L31" s="1"/>
  <c r="F31"/>
  <c r="E31"/>
  <c r="E45" i="8"/>
  <c r="E44" i="7"/>
  <c r="E45" s="1"/>
  <c r="E48" i="8"/>
  <c r="G15" i="10" s="1"/>
  <c r="B8"/>
  <c r="B33" s="1"/>
  <c r="E53" i="3"/>
  <c r="P10" i="10" s="1"/>
  <c r="E44" i="3"/>
  <c r="D10" i="10" s="1"/>
  <c r="C49" i="9"/>
  <c r="H16" i="10" s="1"/>
  <c r="E16"/>
  <c r="C49" i="5"/>
  <c r="H12" i="10" s="1"/>
  <c r="E12"/>
  <c r="C49" i="4"/>
  <c r="H11" i="10" s="1"/>
  <c r="E11"/>
  <c r="C49" i="3"/>
  <c r="H10" i="10" s="1"/>
  <c r="E10"/>
  <c r="D23" i="9"/>
  <c r="D52"/>
  <c r="L16" i="10" s="1"/>
  <c r="E49" i="9"/>
  <c r="J16" i="10" s="1"/>
  <c r="D23" i="8"/>
  <c r="D52"/>
  <c r="L15" i="10" s="1"/>
  <c r="D23" i="7"/>
  <c r="D52"/>
  <c r="L14" i="10" s="1"/>
  <c r="D23" i="6"/>
  <c r="D45" s="1"/>
  <c r="D52"/>
  <c r="L13" i="10" s="1"/>
  <c r="E23" i="6"/>
  <c r="E45" s="1"/>
  <c r="E52"/>
  <c r="M13" i="10" s="1"/>
  <c r="E23" i="5"/>
  <c r="E52"/>
  <c r="M12" i="10" s="1"/>
  <c r="D23" i="5"/>
  <c r="D52"/>
  <c r="L12" i="10" s="1"/>
  <c r="D23" i="4"/>
  <c r="D52"/>
  <c r="L11" i="10" s="1"/>
  <c r="E49" i="4"/>
  <c r="J11" i="10" s="1"/>
  <c r="D48" i="7"/>
  <c r="D45"/>
  <c r="D48" i="6"/>
  <c r="C48" i="8"/>
  <c r="C45"/>
  <c r="C48" i="7"/>
  <c r="C45"/>
  <c r="C48" i="6"/>
  <c r="C45"/>
  <c r="N34" i="10"/>
  <c r="N35" s="1"/>
  <c r="O34"/>
  <c r="O35" s="1"/>
  <c r="E29" i="2"/>
  <c r="E33" s="1"/>
  <c r="E40"/>
  <c r="G23" i="10" s="1"/>
  <c r="C44" i="2"/>
  <c r="B9" i="10" s="1"/>
  <c r="B34" s="1"/>
  <c r="C52" i="2"/>
  <c r="D52"/>
  <c r="L9" i="10" s="1"/>
  <c r="D44" i="2"/>
  <c r="C9" i="10" s="1"/>
  <c r="D11" i="1"/>
  <c r="D52" s="1"/>
  <c r="E53"/>
  <c r="P8" i="10" s="1"/>
  <c r="E44" i="1"/>
  <c r="D8" i="10" s="1"/>
  <c r="D33" s="1"/>
  <c r="D44" i="1"/>
  <c r="C8" i="10" s="1"/>
  <c r="C33" s="1"/>
  <c r="E11" i="3"/>
  <c r="D23"/>
  <c r="C49" i="1"/>
  <c r="H8" i="10" s="1"/>
  <c r="H33" s="1"/>
  <c r="E33"/>
  <c r="E39" i="2"/>
  <c r="B63" i="1" s="1"/>
  <c r="E23" i="2"/>
  <c r="H55" i="12" l="1"/>
  <c r="H58" s="1"/>
  <c r="H45"/>
  <c r="H49" s="1"/>
  <c r="F4" i="10"/>
  <c r="F4" i="11"/>
  <c r="P33" i="10"/>
  <c r="X3"/>
  <c r="J63" i="1"/>
  <c r="G31" i="10"/>
  <c r="F33" i="1"/>
  <c r="D23" i="10"/>
  <c r="D31" s="1"/>
  <c r="D14"/>
  <c r="E48" i="7"/>
  <c r="E49" i="8"/>
  <c r="J15" i="10" s="1"/>
  <c r="K9"/>
  <c r="K34" s="1"/>
  <c r="K35" s="1"/>
  <c r="E53" i="2"/>
  <c r="P9" i="10" s="1"/>
  <c r="P34" s="1"/>
  <c r="P35" s="1"/>
  <c r="F40" i="1"/>
  <c r="C49" i="8"/>
  <c r="H15" i="10" s="1"/>
  <c r="E15"/>
  <c r="D49" i="7"/>
  <c r="I14" i="10" s="1"/>
  <c r="F14"/>
  <c r="C49" i="7"/>
  <c r="H14" i="10" s="1"/>
  <c r="E14"/>
  <c r="D49" i="6"/>
  <c r="I13" i="10" s="1"/>
  <c r="F13"/>
  <c r="C49" i="6"/>
  <c r="H13" i="10" s="1"/>
  <c r="E13"/>
  <c r="D48" i="9"/>
  <c r="D45"/>
  <c r="D45" i="8"/>
  <c r="D48"/>
  <c r="E48" i="6"/>
  <c r="D48" i="5"/>
  <c r="D45"/>
  <c r="E48"/>
  <c r="E45"/>
  <c r="D48" i="4"/>
  <c r="D45"/>
  <c r="E23" i="3"/>
  <c r="E52"/>
  <c r="M10" i="10" s="1"/>
  <c r="D45" i="3"/>
  <c r="D48"/>
  <c r="D48" i="2"/>
  <c r="D45"/>
  <c r="C48"/>
  <c r="C45"/>
  <c r="B35" i="10"/>
  <c r="E11" i="1"/>
  <c r="E52" s="1"/>
  <c r="L8" i="10"/>
  <c r="D23" i="1"/>
  <c r="D48" s="1"/>
  <c r="G4" i="10" l="1"/>
  <c r="G4" i="11"/>
  <c r="L33" i="10"/>
  <c r="W2"/>
  <c r="M23"/>
  <c r="M31" s="1"/>
  <c r="G14"/>
  <c r="E49" i="7"/>
  <c r="J14" i="10" s="1"/>
  <c r="D49" i="9"/>
  <c r="I16" i="10" s="1"/>
  <c r="F16"/>
  <c r="D49" i="8"/>
  <c r="I15" i="10" s="1"/>
  <c r="F15"/>
  <c r="E49" i="6"/>
  <c r="J13" i="10" s="1"/>
  <c r="G13"/>
  <c r="D49" i="5"/>
  <c r="I12" i="10" s="1"/>
  <c r="F12"/>
  <c r="E49" i="5"/>
  <c r="J12" i="10" s="1"/>
  <c r="G12"/>
  <c r="D49" i="4"/>
  <c r="I11" i="10" s="1"/>
  <c r="F11"/>
  <c r="D49" i="3"/>
  <c r="I10" i="10" s="1"/>
  <c r="F10"/>
  <c r="E45" i="3"/>
  <c r="E48"/>
  <c r="F9" i="10"/>
  <c r="D49" i="2"/>
  <c r="I9" i="10" s="1"/>
  <c r="E44" i="2"/>
  <c r="D9" i="10" s="1"/>
  <c r="D34" s="1"/>
  <c r="E52" i="2"/>
  <c r="L34" i="10"/>
  <c r="L35" s="1"/>
  <c r="E9"/>
  <c r="E34" s="1"/>
  <c r="E35" s="1"/>
  <c r="C49" i="2"/>
  <c r="H9" i="10" s="1"/>
  <c r="H34" s="1"/>
  <c r="M8"/>
  <c r="E23" i="1"/>
  <c r="E48" s="1"/>
  <c r="D45"/>
  <c r="M33" i="10" l="1"/>
  <c r="X2"/>
  <c r="I34"/>
  <c r="E49" i="3"/>
  <c r="J10" i="10" s="1"/>
  <c r="G10"/>
  <c r="M9"/>
  <c r="M34" s="1"/>
  <c r="M35" s="1"/>
  <c r="C34"/>
  <c r="C35" s="1"/>
  <c r="E48" i="2"/>
  <c r="D35" i="10"/>
  <c r="E45" i="2"/>
  <c r="E45" i="1"/>
  <c r="D49"/>
  <c r="I8" i="10" s="1"/>
  <c r="I33" s="1"/>
  <c r="F8"/>
  <c r="F33" s="1"/>
  <c r="E49" i="1"/>
  <c r="J8" i="10" s="1"/>
  <c r="J33" s="1"/>
  <c r="G8"/>
  <c r="G33" s="1"/>
  <c r="F34" l="1"/>
  <c r="F35" s="1"/>
  <c r="E49" i="2"/>
  <c r="J9" i="10" s="1"/>
  <c r="J34" s="1"/>
  <c r="G9"/>
  <c r="G34" s="1"/>
  <c r="G35" s="1"/>
</calcChain>
</file>

<file path=xl/sharedStrings.xml><?xml version="1.0" encoding="utf-8"?>
<sst xmlns="http://schemas.openxmlformats.org/spreadsheetml/2006/main" count="753" uniqueCount="153">
  <si>
    <t>FY 2009</t>
  </si>
  <si>
    <t>FY 2010</t>
  </si>
  <si>
    <t>FY 2011</t>
  </si>
  <si>
    <t>FY 2012</t>
  </si>
  <si>
    <t>Actual</t>
  </si>
  <si>
    <t>State Appropriations</t>
  </si>
  <si>
    <t>General Funds</t>
  </si>
  <si>
    <t>Educational Enhancement</t>
  </si>
  <si>
    <t>Budget Contingency Funds</t>
  </si>
  <si>
    <t>ARRA</t>
  </si>
  <si>
    <t xml:space="preserve">     Total State Appropriations</t>
  </si>
  <si>
    <t>Tuition</t>
  </si>
  <si>
    <t>Other Revenues</t>
  </si>
  <si>
    <t>TOTAL REVENUES</t>
  </si>
  <si>
    <t>Grants and Contracts</t>
  </si>
  <si>
    <t>Sales &amp; Service</t>
  </si>
  <si>
    <t>Fund Balance</t>
  </si>
  <si>
    <t xml:space="preserve">     Total Other Revenues</t>
  </si>
  <si>
    <t xml:space="preserve">     Total Tuition</t>
  </si>
  <si>
    <t xml:space="preserve">     Total Appropriations</t>
  </si>
  <si>
    <t>Budget</t>
  </si>
  <si>
    <t>Estimated</t>
  </si>
  <si>
    <t>Revenue Sources</t>
  </si>
  <si>
    <t>Reduction</t>
  </si>
  <si>
    <t xml:space="preserve"> </t>
  </si>
  <si>
    <t xml:space="preserve">  </t>
  </si>
  <si>
    <t>Net Appropriations</t>
  </si>
  <si>
    <t>Appropriations</t>
  </si>
  <si>
    <t>Reduction Percent</t>
  </si>
  <si>
    <t>Estimated Appropriations</t>
  </si>
  <si>
    <t>Tuition %</t>
  </si>
  <si>
    <t>1% tuition =</t>
  </si>
  <si>
    <t>Approximate Tuition Increase</t>
  </si>
  <si>
    <t>Net Tuition</t>
  </si>
  <si>
    <t>Other Income</t>
  </si>
  <si>
    <t>Amended Revenues</t>
  </si>
  <si>
    <t>Net Tuition Revenue Increase</t>
  </si>
  <si>
    <t>Percent Change</t>
  </si>
  <si>
    <t>$ Reduction</t>
  </si>
  <si>
    <t>% Reduction from prior year</t>
  </si>
  <si>
    <t>System</t>
  </si>
  <si>
    <t>ASU</t>
  </si>
  <si>
    <t>SYSTEM</t>
  </si>
  <si>
    <t>DSU</t>
  </si>
  <si>
    <t>JSU</t>
  </si>
  <si>
    <t>MSU</t>
  </si>
  <si>
    <t>MUW</t>
  </si>
  <si>
    <t>MVSU</t>
  </si>
  <si>
    <t>UM</t>
  </si>
  <si>
    <t>USM</t>
  </si>
  <si>
    <t>Change in Appropriations</t>
  </si>
  <si>
    <t>Change in Tuition</t>
  </si>
  <si>
    <t>Institution</t>
  </si>
  <si>
    <t>Test Numbers</t>
  </si>
  <si>
    <t>ARRA Funds included in above</t>
  </si>
  <si>
    <t>Calculation</t>
  </si>
  <si>
    <t>Loss of ARRA</t>
  </si>
  <si>
    <t>Net ARRA</t>
  </si>
  <si>
    <t xml:space="preserve">Assumed equal to FY 2010 </t>
  </si>
  <si>
    <t>Dollar Change in State                                                               Appropriations including ARRA</t>
  </si>
  <si>
    <t>Amended Total                                                Budgeted Revenue</t>
  </si>
  <si>
    <t>Cumulative Dollar Change in                             Tuition Revenues</t>
  </si>
  <si>
    <t>Tuition Change by Institution</t>
  </si>
  <si>
    <t>ALTERNATIVE TUITION CALCULATIONS (increases by institution)</t>
  </si>
  <si>
    <t>Amended State Appropriations</t>
  </si>
  <si>
    <t>Amended Tuition Revenues</t>
  </si>
  <si>
    <t>Test #</t>
  </si>
  <si>
    <t>Total</t>
  </si>
  <si>
    <t>% Change in                                                              FY 2010 Total Revenues</t>
  </si>
  <si>
    <t>System Average</t>
  </si>
  <si>
    <t>Estimated Appropriation Change from FY 2010 as base</t>
  </si>
  <si>
    <t>Estimated Tuition Revenue Change</t>
  </si>
  <si>
    <t>Equivalent Tuition Rate Change to Generate Estimated Tuition Revenue Increase (simple average)</t>
  </si>
  <si>
    <t>Expenses</t>
  </si>
  <si>
    <t>Inflation</t>
  </si>
  <si>
    <t>Expenses Inflated</t>
  </si>
  <si>
    <t>Expenses Change</t>
  </si>
  <si>
    <t>Tuition Increase</t>
  </si>
  <si>
    <t>FY 2012 w Tuition increase in FY 2012</t>
  </si>
  <si>
    <t>FY 2010 Budget</t>
  </si>
  <si>
    <t>FY 2011 inflated for FY 2010 and FY 2011</t>
  </si>
  <si>
    <t>Fy 2012 inflated for FY 2010, FY 2011, &amp; FY 2012</t>
  </si>
  <si>
    <t>Estimated Equivalent Tuition Increase</t>
  </si>
  <si>
    <t>Estimated Expenses with Inflation</t>
  </si>
  <si>
    <t>Estimated Increase Compared to FY 2010</t>
  </si>
  <si>
    <t>Inflation on FY 2010 &amp; FY 2011 in FY 2011 Budget</t>
  </si>
  <si>
    <t>Inflation on FY 2010, FY 2011, &amp; FY 2012</t>
  </si>
  <si>
    <t>Inflation on FY 2010, FY 2011, and FY 2011 less tuition increase in FY 2011</t>
  </si>
  <si>
    <t>Estimated Inflation for Expense Growth</t>
  </si>
  <si>
    <t>Tuition Change</t>
  </si>
  <si>
    <t>Tuition Charge for Inflation</t>
  </si>
  <si>
    <t>Approp Change inc ARRA</t>
  </si>
  <si>
    <t>SYSTEM SUMMARY</t>
  </si>
  <si>
    <t>Expense Change Based on Inflation</t>
  </si>
  <si>
    <t>tuition increase if tuition increased in FY 2011</t>
  </si>
  <si>
    <t>$ Change in                                                                                          Total FY 2010 Budgeted Revenues</t>
  </si>
  <si>
    <t>Note:  2% Efficiencies assumption is assumed and efficiencies are the be reinvested in priorities of the institution.</t>
  </si>
  <si>
    <t>Executive Office</t>
  </si>
  <si>
    <t>Student Financial Aid</t>
  </si>
  <si>
    <t>Advanced Vehicular Studies</t>
  </si>
  <si>
    <t>Water Resources Research Institute</t>
  </si>
  <si>
    <t>SYSTEM ADMINISTRATION</t>
  </si>
  <si>
    <t>ALCORN STATE UNIVERSITY</t>
  </si>
  <si>
    <t>Agricultural Units</t>
  </si>
  <si>
    <t>JACKSON STATE UNIVERSITY</t>
  </si>
  <si>
    <t>Urban Research Center</t>
  </si>
  <si>
    <t>MISSISSIPPI STATE UNIVERSITY</t>
  </si>
  <si>
    <t>State Chemical Laboratory</t>
  </si>
  <si>
    <t>Agricultural &amp; Forestry Experiment Station</t>
  </si>
  <si>
    <t>Mississippi Cooperative Extension</t>
  </si>
  <si>
    <t>Forest &amp; Wildlife Research Center</t>
  </si>
  <si>
    <t>College of Veterinary Medicine</t>
  </si>
  <si>
    <t>Stennis Institute</t>
  </si>
  <si>
    <t>Alcohol Safety Education Program (S. F.)</t>
  </si>
  <si>
    <t>UNIVERSITY OF MISSISSIPPI</t>
  </si>
  <si>
    <t>Center for Manufacturing Excellence</t>
  </si>
  <si>
    <t>Law Research Institute</t>
  </si>
  <si>
    <t>Mineral Resources Institute</t>
  </si>
  <si>
    <t>RIPS</t>
  </si>
  <si>
    <t>Supercomputer</t>
  </si>
  <si>
    <t>Small Business Center</t>
  </si>
  <si>
    <t>University Medical Center</t>
  </si>
  <si>
    <t>State Court Education Program (S. F.)</t>
  </si>
  <si>
    <t>UNIVERSITY OF SOUTHERN MISSISSIPPI</t>
  </si>
  <si>
    <t>Mississippi Polymer Institute</t>
  </si>
  <si>
    <t>Gulf Coast Research Laboratory</t>
  </si>
  <si>
    <t>Stennis Center</t>
  </si>
  <si>
    <t>FY 2010 Appropriations</t>
  </si>
  <si>
    <t>FY 2011 Additional Original Request including Capital Renewal</t>
  </si>
  <si>
    <t>FY 2010 Appropriation</t>
  </si>
  <si>
    <t>Total FY 2011 Request including Capital Renewal</t>
  </si>
  <si>
    <t>FY 2011                                        Amended                                 Request</t>
  </si>
  <si>
    <t>FY 2011                                     Amended Additional                                   Request</t>
  </si>
  <si>
    <t>Institutions</t>
  </si>
  <si>
    <t>FY 2009 Budget</t>
  </si>
  <si>
    <t>$                                                   Change from Original Request</t>
  </si>
  <si>
    <t>Ayers</t>
  </si>
  <si>
    <t>Total before Ayers</t>
  </si>
  <si>
    <t>Total Including Ayers</t>
  </si>
  <si>
    <t>Total without E&amp;G &amp; Ayers</t>
  </si>
  <si>
    <t>Recap:</t>
  </si>
  <si>
    <t>Other Budgets</t>
  </si>
  <si>
    <t>Total FY 2010 Budget</t>
  </si>
  <si>
    <t>Total FY 2011 Request</t>
  </si>
  <si>
    <t>Change from Original Additional Request</t>
  </si>
  <si>
    <t>Original Additional Request including Capital Renewal</t>
  </si>
  <si>
    <t>Amended Additional Request excluding Capital Renewal</t>
  </si>
  <si>
    <t>Amended Total                         FY 2011 Request</t>
  </si>
  <si>
    <t>Mississippi Institutions of Higher Learning</t>
  </si>
  <si>
    <t>Modified Legislative Request based on Projected Inflation Only</t>
  </si>
  <si>
    <t>For Fiscal Year 2011</t>
  </si>
  <si>
    <t>Assumption Model to Calculate Amended FY 2011 Funding Request</t>
  </si>
  <si>
    <t>Assumptions:  Flat enrollment  and efficiencies reinvested.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</si>
</sst>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/>
    <xf numFmtId="165" fontId="0" fillId="0" borderId="0" xfId="1" applyNumberFormat="1" applyFont="1"/>
    <xf numFmtId="165" fontId="2" fillId="2" borderId="1" xfId="1" applyNumberFormat="1" applyFont="1" applyFill="1" applyBorder="1" applyAlignment="1">
      <alignment horizontal="center" vertical="center"/>
    </xf>
    <xf numFmtId="164" fontId="2" fillId="2" borderId="1" xfId="3" applyNumberFormat="1" applyFont="1" applyFill="1" applyBorder="1" applyAlignment="1">
      <alignment horizontal="center" vertical="center"/>
    </xf>
    <xf numFmtId="165" fontId="0" fillId="0" borderId="1" xfId="1" applyNumberFormat="1" applyFont="1" applyBorder="1"/>
    <xf numFmtId="0" fontId="0" fillId="0" borderId="1" xfId="0" applyBorder="1"/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0" fillId="0" borderId="1" xfId="2" applyNumberFormat="1" applyFont="1" applyBorder="1"/>
    <xf numFmtId="0" fontId="3" fillId="0" borderId="1" xfId="0" applyFont="1" applyBorder="1"/>
    <xf numFmtId="0" fontId="2" fillId="0" borderId="1" xfId="0" applyFont="1" applyBorder="1"/>
    <xf numFmtId="166" fontId="2" fillId="0" borderId="1" xfId="2" applyNumberFormat="1" applyFont="1" applyBorder="1"/>
    <xf numFmtId="0" fontId="2" fillId="2" borderId="1" xfId="0" applyFont="1" applyFill="1" applyBorder="1"/>
    <xf numFmtId="166" fontId="0" fillId="0" borderId="0" xfId="2" applyNumberFormat="1" applyFont="1"/>
    <xf numFmtId="0" fontId="4" fillId="0" borderId="0" xfId="0" applyFont="1"/>
    <xf numFmtId="165" fontId="4" fillId="0" borderId="0" xfId="1" applyNumberFormat="1" applyFont="1"/>
    <xf numFmtId="9" fontId="4" fillId="0" borderId="0" xfId="0" applyNumberFormat="1" applyFont="1"/>
    <xf numFmtId="166" fontId="4" fillId="0" borderId="0" xfId="2" applyNumberFormat="1" applyFont="1"/>
    <xf numFmtId="166" fontId="0" fillId="0" borderId="0" xfId="0" applyNumberFormat="1"/>
    <xf numFmtId="9" fontId="4" fillId="0" borderId="0" xfId="3" applyFont="1"/>
    <xf numFmtId="164" fontId="4" fillId="0" borderId="0" xfId="0" applyNumberFormat="1" applyFont="1"/>
    <xf numFmtId="166" fontId="4" fillId="0" borderId="0" xfId="0" applyNumberFormat="1" applyFont="1"/>
    <xf numFmtId="164" fontId="0" fillId="0" borderId="0" xfId="3" applyNumberFormat="1" applyFont="1"/>
    <xf numFmtId="166" fontId="2" fillId="0" borderId="0" xfId="2" applyNumberFormat="1" applyFont="1"/>
    <xf numFmtId="164" fontId="2" fillId="0" borderId="0" xfId="3" applyNumberFormat="1" applyFont="1" applyAlignment="1">
      <alignment horizontal="center"/>
    </xf>
    <xf numFmtId="9" fontId="4" fillId="0" borderId="0" xfId="3" applyFont="1" applyAlignment="1">
      <alignment horizontal="center"/>
    </xf>
    <xf numFmtId="16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4" fontId="2" fillId="0" borderId="0" xfId="3" applyNumberFormat="1" applyFont="1"/>
    <xf numFmtId="0" fontId="2" fillId="0" borderId="3" xfId="0" applyFont="1" applyBorder="1"/>
    <xf numFmtId="166" fontId="2" fillId="0" borderId="4" xfId="2" applyNumberFormat="1" applyFont="1" applyBorder="1"/>
    <xf numFmtId="0" fontId="2" fillId="0" borderId="5" xfId="0" applyFont="1" applyBorder="1"/>
    <xf numFmtId="165" fontId="2" fillId="0" borderId="6" xfId="1" applyNumberFormat="1" applyFont="1" applyBorder="1"/>
    <xf numFmtId="164" fontId="2" fillId="0" borderId="6" xfId="3" applyNumberFormat="1" applyFont="1" applyBorder="1"/>
    <xf numFmtId="164" fontId="2" fillId="0" borderId="7" xfId="3" applyNumberFormat="1" applyFont="1" applyBorder="1"/>
    <xf numFmtId="0" fontId="7" fillId="0" borderId="0" xfId="0" applyFont="1"/>
    <xf numFmtId="0" fontId="9" fillId="0" borderId="0" xfId="0" applyFont="1"/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/>
    </xf>
    <xf numFmtId="0" fontId="0" fillId="6" borderId="0" xfId="0" applyFill="1"/>
    <xf numFmtId="0" fontId="9" fillId="2" borderId="2" xfId="0" applyFont="1" applyFill="1" applyBorder="1"/>
    <xf numFmtId="0" fontId="10" fillId="2" borderId="22" xfId="0" applyFont="1" applyFill="1" applyBorder="1" applyAlignment="1">
      <alignment horizontal="center" vertical="center"/>
    </xf>
    <xf numFmtId="166" fontId="10" fillId="5" borderId="8" xfId="2" applyNumberFormat="1" applyFont="1" applyFill="1" applyBorder="1" applyAlignment="1">
      <alignment vertical="center"/>
    </xf>
    <xf numFmtId="166" fontId="10" fillId="5" borderId="2" xfId="2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9" fillId="0" borderId="0" xfId="0" applyNumberFormat="1" applyFont="1"/>
    <xf numFmtId="166" fontId="9" fillId="0" borderId="0" xfId="2" applyNumberFormat="1" applyFont="1"/>
    <xf numFmtId="0" fontId="9" fillId="0" borderId="0" xfId="0" applyFont="1" applyFill="1" applyBorder="1" applyAlignment="1">
      <alignment wrapText="1"/>
    </xf>
    <xf numFmtId="164" fontId="2" fillId="2" borderId="1" xfId="3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vertical="center"/>
    </xf>
    <xf numFmtId="166" fontId="10" fillId="5" borderId="21" xfId="2" applyNumberFormat="1" applyFont="1" applyFill="1" applyBorder="1" applyAlignment="1">
      <alignment vertical="center"/>
    </xf>
    <xf numFmtId="165" fontId="10" fillId="0" borderId="1" xfId="1" applyNumberFormat="1" applyFont="1" applyBorder="1"/>
    <xf numFmtId="165" fontId="10" fillId="0" borderId="14" xfId="1" applyNumberFormat="1" applyFont="1" applyBorder="1"/>
    <xf numFmtId="165" fontId="10" fillId="0" borderId="15" xfId="1" applyNumberFormat="1" applyFont="1" applyBorder="1"/>
    <xf numFmtId="165" fontId="10" fillId="0" borderId="24" xfId="1" applyNumberFormat="1" applyFont="1" applyBorder="1"/>
    <xf numFmtId="165" fontId="10" fillId="0" borderId="17" xfId="1" applyNumberFormat="1" applyFont="1" applyBorder="1"/>
    <xf numFmtId="165" fontId="10" fillId="0" borderId="18" xfId="1" applyNumberFormat="1" applyFont="1" applyBorder="1"/>
    <xf numFmtId="165" fontId="10" fillId="0" borderId="19" xfId="1" applyNumberFormat="1" applyFont="1" applyBorder="1"/>
    <xf numFmtId="165" fontId="10" fillId="0" borderId="12" xfId="1" applyNumberFormat="1" applyFont="1" applyBorder="1"/>
    <xf numFmtId="165" fontId="10" fillId="0" borderId="20" xfId="1" applyNumberFormat="1" applyFont="1" applyBorder="1"/>
    <xf numFmtId="165" fontId="9" fillId="0" borderId="1" xfId="1" applyNumberFormat="1" applyFont="1" applyBorder="1"/>
    <xf numFmtId="0" fontId="10" fillId="5" borderId="21" xfId="0" applyFont="1" applyFill="1" applyBorder="1" applyAlignment="1">
      <alignment vertical="center"/>
    </xf>
    <xf numFmtId="164" fontId="10" fillId="5" borderId="3" xfId="3" applyNumberFormat="1" applyFont="1" applyFill="1" applyBorder="1" applyAlignment="1">
      <alignment horizontal="center" vertical="center"/>
    </xf>
    <xf numFmtId="164" fontId="9" fillId="0" borderId="1" xfId="3" applyNumberFormat="1" applyFont="1" applyBorder="1" applyAlignment="1">
      <alignment horizontal="center"/>
    </xf>
    <xf numFmtId="165" fontId="9" fillId="0" borderId="13" xfId="1" applyNumberFormat="1" applyFont="1" applyBorder="1"/>
    <xf numFmtId="165" fontId="9" fillId="0" borderId="14" xfId="1" applyNumberFormat="1" applyFont="1" applyBorder="1"/>
    <xf numFmtId="165" fontId="9" fillId="0" borderId="15" xfId="1" applyNumberFormat="1" applyFont="1" applyBorder="1"/>
    <xf numFmtId="165" fontId="9" fillId="0" borderId="23" xfId="1" applyNumberFormat="1" applyFont="1" applyBorder="1"/>
    <xf numFmtId="165" fontId="9" fillId="0" borderId="24" xfId="1" applyNumberFormat="1" applyFont="1" applyBorder="1"/>
    <xf numFmtId="165" fontId="9" fillId="0" borderId="16" xfId="1" applyNumberFormat="1" applyFont="1" applyBorder="1"/>
    <xf numFmtId="165" fontId="9" fillId="0" borderId="17" xfId="1" applyNumberFormat="1" applyFont="1" applyBorder="1"/>
    <xf numFmtId="165" fontId="9" fillId="0" borderId="18" xfId="1" applyNumberFormat="1" applyFont="1" applyBorder="1"/>
    <xf numFmtId="164" fontId="9" fillId="0" borderId="13" xfId="3" applyNumberFormat="1" applyFont="1" applyBorder="1" applyAlignment="1">
      <alignment horizontal="center"/>
    </xf>
    <xf numFmtId="164" fontId="9" fillId="0" borderId="14" xfId="3" applyNumberFormat="1" applyFont="1" applyBorder="1" applyAlignment="1">
      <alignment horizontal="center"/>
    </xf>
    <xf numFmtId="164" fontId="9" fillId="0" borderId="15" xfId="3" applyNumberFormat="1" applyFont="1" applyBorder="1" applyAlignment="1">
      <alignment horizontal="center"/>
    </xf>
    <xf numFmtId="164" fontId="9" fillId="0" borderId="23" xfId="3" applyNumberFormat="1" applyFont="1" applyBorder="1" applyAlignment="1">
      <alignment horizontal="center"/>
    </xf>
    <xf numFmtId="164" fontId="9" fillId="0" borderId="24" xfId="3" applyNumberFormat="1" applyFont="1" applyBorder="1" applyAlignment="1">
      <alignment horizontal="center"/>
    </xf>
    <xf numFmtId="164" fontId="9" fillId="0" borderId="16" xfId="3" applyNumberFormat="1" applyFont="1" applyBorder="1" applyAlignment="1">
      <alignment horizontal="center"/>
    </xf>
    <xf numFmtId="164" fontId="9" fillId="0" borderId="17" xfId="3" applyNumberFormat="1" applyFont="1" applyBorder="1" applyAlignment="1">
      <alignment horizontal="center"/>
    </xf>
    <xf numFmtId="164" fontId="9" fillId="0" borderId="18" xfId="3" applyNumberFormat="1" applyFont="1" applyBorder="1" applyAlignment="1">
      <alignment horizontal="center"/>
    </xf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165" fontId="9" fillId="0" borderId="12" xfId="1" applyNumberFormat="1" applyFont="1" applyBorder="1"/>
    <xf numFmtId="165" fontId="9" fillId="0" borderId="19" xfId="1" applyNumberFormat="1" applyFont="1" applyBorder="1"/>
    <xf numFmtId="165" fontId="9" fillId="0" borderId="28" xfId="1" applyNumberFormat="1" applyFont="1" applyBorder="1"/>
    <xf numFmtId="165" fontId="9" fillId="0" borderId="29" xfId="1" applyNumberFormat="1" applyFont="1" applyBorder="1"/>
    <xf numFmtId="165" fontId="9" fillId="0" borderId="20" xfId="1" applyNumberFormat="1" applyFont="1" applyBorder="1"/>
    <xf numFmtId="165" fontId="9" fillId="0" borderId="30" xfId="1" applyNumberFormat="1" applyFont="1" applyBorder="1"/>
    <xf numFmtId="164" fontId="8" fillId="6" borderId="0" xfId="3" applyNumberFormat="1" applyFont="1" applyFill="1" applyBorder="1" applyAlignment="1">
      <alignment horizontal="center" vertical="center"/>
    </xf>
    <xf numFmtId="165" fontId="9" fillId="0" borderId="31" xfId="1" applyNumberFormat="1" applyFont="1" applyBorder="1"/>
    <xf numFmtId="165" fontId="9" fillId="0" borderId="34" xfId="1" applyNumberFormat="1" applyFont="1" applyBorder="1"/>
    <xf numFmtId="165" fontId="9" fillId="0" borderId="35" xfId="1" applyNumberFormat="1" applyFont="1" applyBorder="1"/>
    <xf numFmtId="0" fontId="0" fillId="2" borderId="3" xfId="0" applyFill="1" applyBorder="1"/>
    <xf numFmtId="0" fontId="0" fillId="2" borderId="4" xfId="0" applyFill="1" applyBorder="1"/>
    <xf numFmtId="164" fontId="6" fillId="3" borderId="8" xfId="3" applyNumberFormat="1" applyFont="1" applyFill="1" applyBorder="1" applyAlignment="1" applyProtection="1">
      <alignment horizontal="center" vertical="center"/>
      <protection locked="0"/>
    </xf>
    <xf numFmtId="164" fontId="6" fillId="3" borderId="2" xfId="3" applyNumberFormat="1" applyFont="1" applyFill="1" applyBorder="1" applyAlignment="1" applyProtection="1">
      <alignment horizontal="center" vertical="center"/>
      <protection locked="0"/>
    </xf>
    <xf numFmtId="164" fontId="6" fillId="3" borderId="10" xfId="3" applyNumberFormat="1" applyFont="1" applyFill="1" applyBorder="1" applyAlignment="1" applyProtection="1">
      <alignment horizontal="center" vertical="center"/>
      <protection locked="0"/>
    </xf>
    <xf numFmtId="164" fontId="6" fillId="4" borderId="21" xfId="3" applyNumberFormat="1" applyFont="1" applyFill="1" applyBorder="1" applyAlignment="1" applyProtection="1">
      <alignment horizontal="center" vertical="center"/>
      <protection locked="0"/>
    </xf>
    <xf numFmtId="164" fontId="5" fillId="2" borderId="2" xfId="3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1" xfId="0" applyFont="1" applyFill="1" applyBorder="1"/>
    <xf numFmtId="165" fontId="12" fillId="0" borderId="0" xfId="0" applyNumberFormat="1" applyFont="1"/>
    <xf numFmtId="0" fontId="11" fillId="0" borderId="0" xfId="0" applyFont="1"/>
    <xf numFmtId="0" fontId="12" fillId="0" borderId="0" xfId="0" applyFont="1"/>
    <xf numFmtId="166" fontId="12" fillId="0" borderId="0" xfId="0" applyNumberFormat="1" applyFont="1"/>
    <xf numFmtId="164" fontId="12" fillId="0" borderId="0" xfId="3" applyNumberFormat="1" applyFont="1"/>
    <xf numFmtId="164" fontId="0" fillId="0" borderId="0" xfId="0" applyNumberFormat="1"/>
    <xf numFmtId="0" fontId="0" fillId="0" borderId="0" xfId="0" applyAlignment="1">
      <alignment wrapText="1"/>
    </xf>
    <xf numFmtId="166" fontId="9" fillId="0" borderId="1" xfId="0" applyNumberFormat="1" applyFont="1" applyBorder="1"/>
    <xf numFmtId="166" fontId="9" fillId="0" borderId="36" xfId="2" applyNumberFormat="1" applyFont="1" applyBorder="1"/>
    <xf numFmtId="166" fontId="9" fillId="0" borderId="33" xfId="2" applyNumberFormat="1" applyFont="1" applyBorder="1"/>
    <xf numFmtId="166" fontId="9" fillId="0" borderId="37" xfId="2" applyNumberFormat="1" applyFont="1" applyBorder="1"/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166" fontId="9" fillId="0" borderId="36" xfId="0" applyNumberFormat="1" applyFont="1" applyBorder="1"/>
    <xf numFmtId="166" fontId="9" fillId="0" borderId="33" xfId="0" applyNumberFormat="1" applyFont="1" applyBorder="1"/>
    <xf numFmtId="166" fontId="9" fillId="0" borderId="37" xfId="0" applyNumberFormat="1" applyFont="1" applyBorder="1"/>
    <xf numFmtId="164" fontId="9" fillId="0" borderId="36" xfId="3" applyNumberFormat="1" applyFont="1" applyBorder="1" applyAlignment="1">
      <alignment horizontal="center"/>
    </xf>
    <xf numFmtId="164" fontId="9" fillId="0" borderId="33" xfId="3" applyNumberFormat="1" applyFont="1" applyBorder="1" applyAlignment="1">
      <alignment horizontal="center"/>
    </xf>
    <xf numFmtId="164" fontId="9" fillId="0" borderId="37" xfId="3" applyNumberFormat="1" applyFont="1" applyBorder="1" applyAlignment="1">
      <alignment horizontal="center"/>
    </xf>
    <xf numFmtId="0" fontId="10" fillId="0" borderId="26" xfId="0" applyFont="1" applyBorder="1"/>
    <xf numFmtId="0" fontId="10" fillId="0" borderId="44" xfId="0" applyFont="1" applyBorder="1"/>
    <xf numFmtId="164" fontId="5" fillId="7" borderId="8" xfId="3" applyNumberFormat="1" applyFont="1" applyFill="1" applyBorder="1" applyAlignment="1">
      <alignment horizontal="center" vertical="center"/>
    </xf>
    <xf numFmtId="164" fontId="5" fillId="7" borderId="2" xfId="3" applyNumberFormat="1" applyFont="1" applyFill="1" applyBorder="1" applyAlignment="1">
      <alignment horizontal="center" vertical="center"/>
    </xf>
    <xf numFmtId="164" fontId="5" fillId="7" borderId="10" xfId="3" applyNumberFormat="1" applyFont="1" applyFill="1" applyBorder="1" applyAlignment="1">
      <alignment horizontal="center" vertical="center"/>
    </xf>
    <xf numFmtId="0" fontId="10" fillId="5" borderId="27" xfId="0" applyFont="1" applyFill="1" applyBorder="1"/>
    <xf numFmtId="166" fontId="10" fillId="5" borderId="16" xfId="0" applyNumberFormat="1" applyFont="1" applyFill="1" applyBorder="1"/>
    <xf numFmtId="166" fontId="10" fillId="5" borderId="17" xfId="0" applyNumberFormat="1" applyFont="1" applyFill="1" applyBorder="1"/>
    <xf numFmtId="166" fontId="10" fillId="5" borderId="18" xfId="0" applyNumberFormat="1" applyFont="1" applyFill="1" applyBorder="1"/>
    <xf numFmtId="164" fontId="10" fillId="5" borderId="16" xfId="3" applyNumberFormat="1" applyFont="1" applyFill="1" applyBorder="1" applyAlignment="1">
      <alignment horizontal="center"/>
    </xf>
    <xf numFmtId="164" fontId="10" fillId="5" borderId="17" xfId="3" applyNumberFormat="1" applyFont="1" applyFill="1" applyBorder="1" applyAlignment="1">
      <alignment horizontal="center"/>
    </xf>
    <xf numFmtId="164" fontId="10" fillId="5" borderId="18" xfId="3" applyNumberFormat="1" applyFont="1" applyFill="1" applyBorder="1" applyAlignment="1">
      <alignment horizontal="center"/>
    </xf>
    <xf numFmtId="164" fontId="5" fillId="8" borderId="8" xfId="3" applyNumberFormat="1" applyFont="1" applyFill="1" applyBorder="1" applyAlignment="1">
      <alignment horizontal="center" vertical="center"/>
    </xf>
    <xf numFmtId="164" fontId="5" fillId="8" borderId="2" xfId="3" applyNumberFormat="1" applyFont="1" applyFill="1" applyBorder="1" applyAlignment="1">
      <alignment horizontal="center" vertical="center"/>
    </xf>
    <xf numFmtId="164" fontId="5" fillId="8" borderId="10" xfId="3" applyNumberFormat="1" applyFont="1" applyFill="1" applyBorder="1" applyAlignment="1">
      <alignment horizontal="center" vertical="center"/>
    </xf>
    <xf numFmtId="0" fontId="13" fillId="0" borderId="11" xfId="0" applyFont="1" applyFill="1" applyBorder="1"/>
    <xf numFmtId="0" fontId="13" fillId="0" borderId="0" xfId="0" applyFont="1"/>
    <xf numFmtId="3" fontId="16" fillId="0" borderId="1" xfId="0" applyNumberFormat="1" applyFont="1" applyBorder="1" applyAlignment="1"/>
    <xf numFmtId="0" fontId="9" fillId="0" borderId="1" xfId="0" applyFont="1" applyBorder="1"/>
    <xf numFmtId="3" fontId="15" fillId="0" borderId="1" xfId="0" applyNumberFormat="1" applyFont="1" applyBorder="1"/>
    <xf numFmtId="3" fontId="15" fillId="0" borderId="0" xfId="0" applyNumberFormat="1" applyFont="1"/>
    <xf numFmtId="165" fontId="15" fillId="0" borderId="0" xfId="4" applyNumberFormat="1" applyFont="1" applyAlignment="1"/>
    <xf numFmtId="3" fontId="15" fillId="9" borderId="46" xfId="0" applyNumberFormat="1" applyFont="1" applyFill="1" applyBorder="1"/>
    <xf numFmtId="3" fontId="15" fillId="0" borderId="46" xfId="0" applyNumberFormat="1" applyFont="1" applyFill="1" applyBorder="1"/>
    <xf numFmtId="164" fontId="15" fillId="0" borderId="0" xfId="0" applyNumberFormat="1" applyFont="1" applyAlignment="1"/>
    <xf numFmtId="0" fontId="15" fillId="0" borderId="0" xfId="0" applyNumberFormat="1" applyFont="1" applyAlignment="1"/>
    <xf numFmtId="3" fontId="17" fillId="0" borderId="1" xfId="0" applyNumberFormat="1" applyFont="1" applyBorder="1" applyAlignment="1"/>
    <xf numFmtId="166" fontId="15" fillId="0" borderId="1" xfId="2" applyNumberFormat="1" applyFont="1" applyBorder="1"/>
    <xf numFmtId="164" fontId="15" fillId="0" borderId="0" xfId="0" applyNumberFormat="1" applyFont="1"/>
    <xf numFmtId="3" fontId="15" fillId="0" borderId="0" xfId="0" applyNumberFormat="1" applyFont="1" applyAlignment="1"/>
    <xf numFmtId="166" fontId="9" fillId="0" borderId="1" xfId="2" applyNumberFormat="1" applyFont="1" applyBorder="1"/>
    <xf numFmtId="165" fontId="15" fillId="0" borderId="1" xfId="1" applyNumberFormat="1" applyFont="1" applyBorder="1"/>
    <xf numFmtId="3" fontId="16" fillId="10" borderId="1" xfId="0" applyNumberFormat="1" applyFont="1" applyFill="1" applyBorder="1" applyAlignment="1"/>
    <xf numFmtId="166" fontId="10" fillId="10" borderId="1" xfId="2" applyNumberFormat="1" applyFont="1" applyFill="1" applyBorder="1"/>
    <xf numFmtId="0" fontId="10" fillId="10" borderId="1" xfId="0" applyFont="1" applyFill="1" applyBorder="1"/>
    <xf numFmtId="3" fontId="18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164" fontId="9" fillId="0" borderId="33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6" fontId="9" fillId="0" borderId="0" xfId="0" applyNumberFormat="1" applyFont="1"/>
    <xf numFmtId="166" fontId="19" fillId="0" borderId="1" xfId="2" applyNumberFormat="1" applyFont="1" applyBorder="1"/>
    <xf numFmtId="165" fontId="19" fillId="0" borderId="1" xfId="1" applyNumberFormat="1" applyFont="1" applyBorder="1"/>
    <xf numFmtId="0" fontId="10" fillId="0" borderId="1" xfId="0" applyFont="1" applyBorder="1"/>
    <xf numFmtId="166" fontId="10" fillId="0" borderId="1" xfId="0" applyNumberFormat="1" applyFont="1" applyBorder="1"/>
    <xf numFmtId="166" fontId="10" fillId="3" borderId="1" xfId="0" applyNumberFormat="1" applyFont="1" applyFill="1" applyBorder="1"/>
    <xf numFmtId="166" fontId="10" fillId="10" borderId="1" xfId="0" applyNumberFormat="1" applyFont="1" applyFill="1" applyBorder="1"/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/>
    </xf>
    <xf numFmtId="0" fontId="11" fillId="6" borderId="0" xfId="0" applyFont="1" applyFill="1" applyBorder="1"/>
    <xf numFmtId="0" fontId="12" fillId="6" borderId="0" xfId="0" applyFont="1" applyFill="1" applyBorder="1" applyAlignment="1">
      <alignment wrapText="1"/>
    </xf>
    <xf numFmtId="166" fontId="12" fillId="6" borderId="0" xfId="0" applyNumberFormat="1" applyFont="1" applyFill="1" applyBorder="1"/>
    <xf numFmtId="0" fontId="21" fillId="6" borderId="0" xfId="0" applyFont="1" applyFill="1" applyBorder="1"/>
    <xf numFmtId="164" fontId="12" fillId="6" borderId="0" xfId="0" applyNumberFormat="1" applyFont="1" applyFill="1" applyBorder="1"/>
    <xf numFmtId="164" fontId="12" fillId="6" borderId="0" xfId="0" applyNumberFormat="1" applyFont="1" applyFill="1" applyBorder="1" applyAlignment="1">
      <alignment horizontal="center"/>
    </xf>
    <xf numFmtId="0" fontId="12" fillId="6" borderId="0" xfId="0" applyFont="1" applyFill="1" applyBorder="1"/>
    <xf numFmtId="3" fontId="9" fillId="0" borderId="0" xfId="0" applyNumberFormat="1" applyFont="1"/>
    <xf numFmtId="165" fontId="0" fillId="0" borderId="0" xfId="0" applyNumberFormat="1"/>
    <xf numFmtId="0" fontId="10" fillId="10" borderId="41" xfId="0" applyFont="1" applyFill="1" applyBorder="1" applyAlignment="1">
      <alignment vertical="center"/>
    </xf>
    <xf numFmtId="0" fontId="10" fillId="10" borderId="42" xfId="0" applyFont="1" applyFill="1" applyBorder="1" applyAlignment="1">
      <alignment horizontal="center" vertical="center" wrapText="1"/>
    </xf>
    <xf numFmtId="0" fontId="10" fillId="10" borderId="43" xfId="0" applyFont="1" applyFill="1" applyBorder="1" applyAlignment="1">
      <alignment horizontal="center" vertical="center" wrapText="1"/>
    </xf>
    <xf numFmtId="0" fontId="9" fillId="0" borderId="36" xfId="0" applyFont="1" applyBorder="1"/>
    <xf numFmtId="0" fontId="9" fillId="0" borderId="23" xfId="0" applyFont="1" applyBorder="1"/>
    <xf numFmtId="0" fontId="9" fillId="0" borderId="16" xfId="0" applyFont="1" applyBorder="1"/>
    <xf numFmtId="0" fontId="10" fillId="10" borderId="47" xfId="0" applyFont="1" applyFill="1" applyBorder="1" applyAlignment="1">
      <alignment vertical="center"/>
    </xf>
    <xf numFmtId="166" fontId="10" fillId="10" borderId="48" xfId="0" applyNumberFormat="1" applyFont="1" applyFill="1" applyBorder="1" applyAlignment="1">
      <alignment vertical="center"/>
    </xf>
    <xf numFmtId="166" fontId="10" fillId="10" borderId="49" xfId="0" applyNumberFormat="1" applyFont="1" applyFill="1" applyBorder="1" applyAlignment="1">
      <alignment vertical="center"/>
    </xf>
    <xf numFmtId="0" fontId="9" fillId="0" borderId="0" xfId="0" applyFont="1" applyFill="1" applyBorder="1"/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5" fontId="8" fillId="8" borderId="38" xfId="0" applyNumberFormat="1" applyFont="1" applyFill="1" applyBorder="1" applyAlignment="1">
      <alignment horizontal="center" vertical="center" wrapText="1"/>
    </xf>
    <xf numFmtId="165" fontId="8" fillId="8" borderId="39" xfId="0" applyNumberFormat="1" applyFont="1" applyFill="1" applyBorder="1" applyAlignment="1">
      <alignment horizontal="center" vertical="center" wrapText="1"/>
    </xf>
    <xf numFmtId="165" fontId="8" fillId="8" borderId="40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22" fillId="11" borderId="0" xfId="0" applyFont="1" applyFill="1" applyAlignment="1">
      <alignment horizontal="center" vertical="center"/>
    </xf>
  </cellXfs>
  <cellStyles count="5">
    <cellStyle name="Comma" xfId="1" builtinId="3"/>
    <cellStyle name="Comma 3" xfId="4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99FF"/>
      <color rgb="FF66FF99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cfall/Local%20Settings/Temporary%20Internet%20Files/Content.Outlook/P9E49XVR/2009,2010,%202011%20funding%20(Fina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cfall/Local%20Settings/Temporary%20Internet%20Files/Content.Outlook/P9E49XVR/Aobsum%2010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cfall/My%20Documents/Tuition/1%25%20Tuition/Copy%20of%201%25%20Rate%20Increase%20with%20$$%20Generat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1 Req Summary"/>
      <sheetName val="2009"/>
      <sheetName val="2010"/>
      <sheetName val="2011"/>
    </sheetNames>
    <sheetDataSet>
      <sheetData sheetId="0" refreshError="1"/>
      <sheetData sheetId="1" refreshError="1"/>
      <sheetData sheetId="2" refreshError="1">
        <row r="11">
          <cell r="H11">
            <v>20357771</v>
          </cell>
        </row>
        <row r="13">
          <cell r="H13">
            <v>5607118</v>
          </cell>
        </row>
        <row r="20">
          <cell r="H20">
            <v>536212</v>
          </cell>
        </row>
        <row r="24">
          <cell r="H24">
            <v>3809266</v>
          </cell>
        </row>
        <row r="25">
          <cell r="H25">
            <v>1923271</v>
          </cell>
        </row>
        <row r="26">
          <cell r="H26">
            <v>128331</v>
          </cell>
        </row>
        <row r="27">
          <cell r="H27">
            <v>23740111</v>
          </cell>
        </row>
        <row r="28">
          <cell r="H28">
            <v>29454127</v>
          </cell>
        </row>
        <row r="29">
          <cell r="H29">
            <v>6135116</v>
          </cell>
        </row>
        <row r="30">
          <cell r="H30">
            <v>17199548</v>
          </cell>
        </row>
        <row r="31">
          <cell r="H31">
            <v>1087670</v>
          </cell>
        </row>
        <row r="32">
          <cell r="H32">
            <v>1454761</v>
          </cell>
        </row>
        <row r="45">
          <cell r="H45">
            <v>1000000</v>
          </cell>
        </row>
        <row r="46">
          <cell r="H46">
            <v>884346</v>
          </cell>
        </row>
        <row r="47">
          <cell r="H47">
            <v>498033</v>
          </cell>
        </row>
        <row r="48">
          <cell r="H48">
            <v>3686942</v>
          </cell>
        </row>
        <row r="49">
          <cell r="H49">
            <v>846676</v>
          </cell>
        </row>
        <row r="50">
          <cell r="H50">
            <v>277853</v>
          </cell>
        </row>
        <row r="51">
          <cell r="H51">
            <v>1582832</v>
          </cell>
        </row>
        <row r="54">
          <cell r="H54">
            <v>236739537</v>
          </cell>
        </row>
        <row r="57">
          <cell r="H57">
            <v>670115</v>
          </cell>
        </row>
        <row r="58">
          <cell r="H58">
            <v>3508316</v>
          </cell>
        </row>
        <row r="59">
          <cell r="H59">
            <v>547025</v>
          </cell>
        </row>
        <row r="63">
          <cell r="H63">
            <v>8082703</v>
          </cell>
        </row>
        <row r="70">
          <cell r="H70">
            <v>31871113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ge 1"/>
      <sheetName val="page 2"/>
      <sheetName val="page 3"/>
      <sheetName val="page 4"/>
      <sheetName val="page 5"/>
      <sheetName val="page 6"/>
      <sheetName val="page 7"/>
      <sheetName val="Page7a"/>
      <sheetName val="page 8"/>
      <sheetName val="page 9"/>
      <sheetName val="page 9a"/>
      <sheetName val="page 10"/>
      <sheetName val="page 11"/>
      <sheetName val="page 11a"/>
      <sheetName val="page 12"/>
      <sheetName val="page 13"/>
      <sheetName val="page 13a"/>
    </sheetNames>
    <sheetDataSet>
      <sheetData sheetId="0"/>
      <sheetData sheetId="1">
        <row r="12">
          <cell r="D12">
            <v>5607118</v>
          </cell>
        </row>
        <row r="23">
          <cell r="D23">
            <v>536212</v>
          </cell>
        </row>
        <row r="29">
          <cell r="D29">
            <v>3809266</v>
          </cell>
        </row>
        <row r="30">
          <cell r="D30">
            <v>2409294</v>
          </cell>
        </row>
        <row r="31">
          <cell r="D31">
            <v>128331</v>
          </cell>
        </row>
        <row r="32">
          <cell r="D32">
            <v>30151965</v>
          </cell>
        </row>
        <row r="33">
          <cell r="D33">
            <v>43726580</v>
          </cell>
        </row>
        <row r="34">
          <cell r="D34">
            <v>7020766</v>
          </cell>
        </row>
        <row r="35">
          <cell r="D35">
            <v>29765348</v>
          </cell>
        </row>
        <row r="36">
          <cell r="D36">
            <v>1087670</v>
          </cell>
        </row>
        <row r="37">
          <cell r="D37">
            <v>1454761</v>
          </cell>
        </row>
        <row r="55">
          <cell r="D55">
            <v>884346</v>
          </cell>
        </row>
        <row r="56">
          <cell r="D56">
            <v>498033</v>
          </cell>
        </row>
        <row r="57">
          <cell r="D57">
            <v>3686942</v>
          </cell>
        </row>
        <row r="58">
          <cell r="D58">
            <v>846676</v>
          </cell>
        </row>
        <row r="59">
          <cell r="D59">
            <v>297853</v>
          </cell>
        </row>
        <row r="60">
          <cell r="D60">
            <v>1000000</v>
          </cell>
        </row>
        <row r="61">
          <cell r="D61">
            <v>1582832</v>
          </cell>
        </row>
        <row r="72">
          <cell r="D72">
            <v>1096114693</v>
          </cell>
        </row>
        <row r="76">
          <cell r="D76">
            <v>670115</v>
          </cell>
        </row>
        <row r="77">
          <cell r="D77">
            <v>5600816</v>
          </cell>
        </row>
        <row r="78">
          <cell r="D78">
            <v>175000</v>
          </cell>
        </row>
        <row r="79">
          <cell r="D79">
            <v>547025</v>
          </cell>
        </row>
        <row r="84">
          <cell r="D84">
            <v>10092289</v>
          </cell>
        </row>
        <row r="85">
          <cell r="D85">
            <v>150000</v>
          </cell>
        </row>
        <row r="89">
          <cell r="D89">
            <v>32124891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D8">
            <v>166076</v>
          </cell>
        </row>
        <row r="9">
          <cell r="D9">
            <v>158242</v>
          </cell>
        </row>
        <row r="10">
          <cell r="D10">
            <v>378948</v>
          </cell>
        </row>
        <row r="11">
          <cell r="D11">
            <v>976932</v>
          </cell>
        </row>
        <row r="12">
          <cell r="D12">
            <v>100057</v>
          </cell>
        </row>
        <row r="13">
          <cell r="D13">
            <v>147371</v>
          </cell>
        </row>
        <row r="14">
          <cell r="D14">
            <v>1126134</v>
          </cell>
        </row>
        <row r="15">
          <cell r="D15">
            <v>789919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4"/>
  <sheetViews>
    <sheetView tabSelected="1" zoomScaleNormal="100" workbookViewId="0">
      <selection activeCell="E4" sqref="E4"/>
    </sheetView>
  </sheetViews>
  <sheetFormatPr defaultRowHeight="14.4"/>
  <cols>
    <col min="1" max="1" width="14.44140625" customWidth="1"/>
    <col min="2" max="4" width="11.109375" customWidth="1"/>
    <col min="5" max="5" width="14.77734375" bestFit="1" customWidth="1"/>
    <col min="6" max="6" width="11.33203125" customWidth="1"/>
    <col min="7" max="7" width="14.77734375" bestFit="1" customWidth="1"/>
    <col min="8" max="9" width="11.109375" customWidth="1"/>
    <col min="10" max="10" width="12.109375" customWidth="1"/>
    <col min="11" max="11" width="15.44140625" bestFit="1" customWidth="1"/>
    <col min="12" max="12" width="10.88671875" customWidth="1"/>
    <col min="13" max="13" width="15.44140625" bestFit="1" customWidth="1"/>
    <col min="14" max="14" width="11.21875" customWidth="1"/>
    <col min="15" max="15" width="12.21875" bestFit="1" customWidth="1"/>
    <col min="16" max="16" width="10.5546875" bestFit="1" customWidth="1"/>
  </cols>
  <sheetData>
    <row r="1" spans="1:28" ht="24.6" thickBot="1">
      <c r="A1" s="97"/>
      <c r="B1" s="98"/>
      <c r="C1" s="98"/>
      <c r="D1" s="98"/>
      <c r="E1" s="104" t="s">
        <v>1</v>
      </c>
      <c r="F1" s="106" t="s">
        <v>2</v>
      </c>
      <c r="G1" s="105" t="s">
        <v>3</v>
      </c>
      <c r="I1" s="223" t="s">
        <v>148</v>
      </c>
      <c r="J1" s="223"/>
      <c r="K1" s="223"/>
      <c r="L1" s="223"/>
      <c r="M1" s="223"/>
      <c r="N1" s="223"/>
      <c r="O1" s="223"/>
      <c r="P1" s="223"/>
      <c r="T1" s="42"/>
      <c r="U1" s="179" t="s">
        <v>92</v>
      </c>
      <c r="V1" s="180" t="str">
        <f>+E1</f>
        <v>FY 2010</v>
      </c>
      <c r="W1" s="180" t="str">
        <f>+F1</f>
        <v>FY 2011</v>
      </c>
      <c r="X1" s="180" t="str">
        <f>+G1</f>
        <v>FY 2012</v>
      </c>
      <c r="Y1" s="181"/>
      <c r="Z1" s="181"/>
      <c r="AA1" s="181"/>
      <c r="AB1" s="181"/>
    </row>
    <row r="2" spans="1:28" s="37" customFormat="1" ht="37.200000000000003" thickBot="1">
      <c r="A2" s="226" t="s">
        <v>70</v>
      </c>
      <c r="B2" s="227"/>
      <c r="C2" s="227"/>
      <c r="D2" s="228"/>
      <c r="E2" s="99">
        <v>-0.05</v>
      </c>
      <c r="F2" s="100">
        <v>0</v>
      </c>
      <c r="G2" s="101">
        <v>0</v>
      </c>
      <c r="I2" s="224" t="s">
        <v>151</v>
      </c>
      <c r="J2" s="224"/>
      <c r="K2" s="224"/>
      <c r="L2" s="224"/>
      <c r="M2" s="224"/>
      <c r="N2" s="224"/>
      <c r="O2" s="224"/>
      <c r="P2" s="224"/>
      <c r="T2" s="93"/>
      <c r="U2" s="182" t="s">
        <v>91</v>
      </c>
      <c r="V2" s="183">
        <f>+K8</f>
        <v>-18048902.800000012</v>
      </c>
      <c r="W2" s="183">
        <f>+L8</f>
        <v>-15725277</v>
      </c>
      <c r="X2" s="183">
        <f>+M8</f>
        <v>-31450554</v>
      </c>
      <c r="Y2" s="181"/>
      <c r="Z2" s="184"/>
      <c r="AA2" s="184"/>
      <c r="AB2" s="184"/>
    </row>
    <row r="3" spans="1:28" s="37" customFormat="1" ht="25.2" thickBot="1">
      <c r="A3" s="226" t="s">
        <v>71</v>
      </c>
      <c r="B3" s="227"/>
      <c r="C3" s="227"/>
      <c r="D3" s="228"/>
      <c r="E3" s="102">
        <v>0</v>
      </c>
      <c r="F3" s="102">
        <v>0</v>
      </c>
      <c r="G3" s="102">
        <v>0</v>
      </c>
      <c r="I3" s="225" t="s">
        <v>24</v>
      </c>
      <c r="J3" s="225"/>
      <c r="K3" s="225"/>
      <c r="L3" s="225"/>
      <c r="M3" s="225"/>
      <c r="N3" s="225"/>
      <c r="O3" s="225"/>
      <c r="P3" s="225"/>
      <c r="T3" s="93"/>
      <c r="U3" s="182" t="s">
        <v>89</v>
      </c>
      <c r="V3" s="183">
        <f>+N8</f>
        <v>0</v>
      </c>
      <c r="W3" s="183">
        <f>+O8</f>
        <v>0</v>
      </c>
      <c r="X3" s="183">
        <f>+P8</f>
        <v>0</v>
      </c>
      <c r="Y3" s="181"/>
      <c r="Z3" s="184"/>
      <c r="AA3" s="184"/>
      <c r="AB3" s="184"/>
    </row>
    <row r="4" spans="1:28" ht="27" customHeight="1" thickBot="1">
      <c r="A4" s="206" t="s">
        <v>72</v>
      </c>
      <c r="B4" s="207"/>
      <c r="C4" s="207"/>
      <c r="D4" s="208"/>
      <c r="E4" s="103">
        <f>+Summary!J61</f>
        <v>0</v>
      </c>
      <c r="F4" s="103">
        <f>+Summary!J62</f>
        <v>0</v>
      </c>
      <c r="G4" s="103">
        <f>+Summary!J63</f>
        <v>0</v>
      </c>
      <c r="T4" s="43"/>
      <c r="U4" s="182" t="s">
        <v>93</v>
      </c>
      <c r="V4" s="183">
        <f>+J38</f>
        <v>0</v>
      </c>
      <c r="W4" s="183">
        <f>+K38</f>
        <v>17264728.474040054</v>
      </c>
      <c r="X4" s="183">
        <f>+L38</f>
        <v>43633232.028261259</v>
      </c>
      <c r="Y4" s="181"/>
      <c r="Z4" s="181"/>
      <c r="AA4" s="181"/>
      <c r="AB4" s="181"/>
    </row>
    <row r="5" spans="1:28" ht="27" customHeight="1" thickBot="1">
      <c r="A5" s="209" t="s">
        <v>88</v>
      </c>
      <c r="B5" s="210"/>
      <c r="C5" s="210"/>
      <c r="D5" s="211"/>
      <c r="E5" s="145">
        <v>2E-3</v>
      </c>
      <c r="F5" s="146">
        <v>1.7999999999999999E-2</v>
      </c>
      <c r="G5" s="147">
        <v>0.03</v>
      </c>
      <c r="T5" s="43"/>
      <c r="U5" s="182" t="s">
        <v>90</v>
      </c>
      <c r="V5" s="185" t="s">
        <v>24</v>
      </c>
      <c r="W5" s="186">
        <f>+M46</f>
        <v>4.6073488138505717E-2</v>
      </c>
      <c r="X5" s="186">
        <f>+N46</f>
        <v>0.11644175008727049</v>
      </c>
      <c r="Y5" s="186">
        <f>+O46</f>
        <v>7.0368261948764776E-2</v>
      </c>
      <c r="Z5" s="187" t="s">
        <v>94</v>
      </c>
      <c r="AA5" s="181"/>
      <c r="AB5" s="181"/>
    </row>
    <row r="6" spans="1:28" s="38" customFormat="1" ht="28.8" customHeight="1" thickBot="1">
      <c r="A6" s="44"/>
      <c r="B6" s="200" t="s">
        <v>60</v>
      </c>
      <c r="C6" s="201"/>
      <c r="D6" s="202"/>
      <c r="E6" s="220" t="s">
        <v>95</v>
      </c>
      <c r="F6" s="221"/>
      <c r="G6" s="222"/>
      <c r="H6" s="200" t="s">
        <v>68</v>
      </c>
      <c r="I6" s="201"/>
      <c r="J6" s="202"/>
      <c r="K6" s="217" t="s">
        <v>59</v>
      </c>
      <c r="L6" s="218"/>
      <c r="M6" s="219"/>
      <c r="N6" s="217" t="s">
        <v>61</v>
      </c>
      <c r="O6" s="218"/>
      <c r="P6" s="219"/>
    </row>
    <row r="7" spans="1:28" s="38" customFormat="1" ht="19.8" customHeight="1" thickBot="1">
      <c r="A7" s="45" t="s">
        <v>52</v>
      </c>
      <c r="B7" s="39" t="s">
        <v>1</v>
      </c>
      <c r="C7" s="40" t="s">
        <v>2</v>
      </c>
      <c r="D7" s="41" t="s">
        <v>3</v>
      </c>
      <c r="E7" s="39" t="s">
        <v>1</v>
      </c>
      <c r="F7" s="40" t="s">
        <v>2</v>
      </c>
      <c r="G7" s="41" t="s">
        <v>3</v>
      </c>
      <c r="H7" s="39" t="s">
        <v>1</v>
      </c>
      <c r="I7" s="40" t="s">
        <v>2</v>
      </c>
      <c r="J7" s="41" t="s">
        <v>3</v>
      </c>
      <c r="K7" s="39" t="s">
        <v>1</v>
      </c>
      <c r="L7" s="40" t="s">
        <v>2</v>
      </c>
      <c r="M7" s="41" t="s">
        <v>3</v>
      </c>
      <c r="N7" s="39" t="s">
        <v>1</v>
      </c>
      <c r="O7" s="40" t="s">
        <v>2</v>
      </c>
      <c r="P7" s="41" t="s">
        <v>3</v>
      </c>
    </row>
    <row r="8" spans="1:28" s="48" customFormat="1" ht="20.399999999999999" customHeight="1" thickBot="1">
      <c r="A8" s="65" t="s">
        <v>42</v>
      </c>
      <c r="B8" s="53">
        <f>+Summary!C44</f>
        <v>843636487.20000005</v>
      </c>
      <c r="C8" s="53">
        <f>+Summary!D44</f>
        <v>845960113</v>
      </c>
      <c r="D8" s="53">
        <f>+Summary!E44</f>
        <v>830234836</v>
      </c>
      <c r="E8" s="53">
        <f>+Summary!C48</f>
        <v>-18048902.799999952</v>
      </c>
      <c r="F8" s="53">
        <f>+Summary!D48</f>
        <v>-15725277</v>
      </c>
      <c r="G8" s="53">
        <f>+Summary!E48</f>
        <v>-31450554</v>
      </c>
      <c r="H8" s="66">
        <f>+Summary!C49</f>
        <v>-2.1006137096635031E-2</v>
      </c>
      <c r="I8" s="66">
        <f>+Summary!D49</f>
        <v>-1.8249441365136759E-2</v>
      </c>
      <c r="J8" s="66">
        <f>+Summary!E49</f>
        <v>-3.6498882730273519E-2</v>
      </c>
      <c r="K8" s="53">
        <f>+Summary!C52</f>
        <v>-18048902.800000012</v>
      </c>
      <c r="L8" s="53">
        <f>-Summary!D11+Summary!D33</f>
        <v>-15725277</v>
      </c>
      <c r="M8" s="54">
        <f>-Summary!E11+Summary!E33</f>
        <v>-31450554</v>
      </c>
      <c r="N8" s="53">
        <f>+Summary!C53</f>
        <v>0</v>
      </c>
      <c r="O8" s="53">
        <f>+Summary!D53</f>
        <v>0</v>
      </c>
      <c r="P8" s="54">
        <f>+Summary!E53</f>
        <v>0</v>
      </c>
    </row>
    <row r="9" spans="1:28" s="38" customFormat="1" ht="13.8" customHeight="1">
      <c r="A9" s="84" t="s">
        <v>41</v>
      </c>
      <c r="B9" s="68">
        <f>+ASU!C44</f>
        <v>39613863.5</v>
      </c>
      <c r="C9" s="88">
        <f>+ASU!D44</f>
        <v>39723426.5</v>
      </c>
      <c r="D9" s="89">
        <f>+ASU!E44</f>
        <v>38897676</v>
      </c>
      <c r="E9" s="68">
        <f>+ASU!C48</f>
        <v>-935313.5</v>
      </c>
      <c r="F9" s="69">
        <f>+ASU!D48</f>
        <v>-825750.5</v>
      </c>
      <c r="G9" s="70">
        <f>+ASU!E48</f>
        <v>-1651501</v>
      </c>
      <c r="H9" s="76">
        <f>+ASU!C49</f>
        <v>-2.1367015561030378E-2</v>
      </c>
      <c r="I9" s="77">
        <f>+ASU!D49</f>
        <v>-2.0364174099020554E-2</v>
      </c>
      <c r="J9" s="78">
        <f>+ASU!E49</f>
        <v>-4.0728348198041109E-2</v>
      </c>
      <c r="K9" s="68">
        <f>+ASU!C52</f>
        <v>-935313.5</v>
      </c>
      <c r="L9" s="69">
        <f>+ASU!D52</f>
        <v>-825750.5</v>
      </c>
      <c r="M9" s="70">
        <f>+ASU!E52</f>
        <v>-1651501</v>
      </c>
      <c r="N9" s="61">
        <f>+ASU!C53</f>
        <v>0</v>
      </c>
      <c r="O9" s="56">
        <f>+ASU!D53</f>
        <v>0</v>
      </c>
      <c r="P9" s="57">
        <f>+ASU!E53</f>
        <v>0</v>
      </c>
    </row>
    <row r="10" spans="1:28" s="38" customFormat="1" ht="13.8" customHeight="1">
      <c r="A10" s="85" t="s">
        <v>43</v>
      </c>
      <c r="B10" s="71">
        <f>+DSU!C44</f>
        <v>42913467.350000001</v>
      </c>
      <c r="C10" s="87">
        <f>+DSU!D44</f>
        <v>43088869.5</v>
      </c>
      <c r="D10" s="90">
        <f>+DSU!E44</f>
        <v>42149651</v>
      </c>
      <c r="E10" s="71">
        <f>+DSU!C48</f>
        <v>-1114620.6499999985</v>
      </c>
      <c r="F10" s="64">
        <f>+DSU!D48</f>
        <v>-939218.5</v>
      </c>
      <c r="G10" s="72">
        <f>+DSU!E48</f>
        <v>-1878437</v>
      </c>
      <c r="H10" s="79">
        <f>+DSU!C49</f>
        <v>-2.5272148402307612E-2</v>
      </c>
      <c r="I10" s="67">
        <f>+DSU!D49</f>
        <v>-2.1332257262681949E-2</v>
      </c>
      <c r="J10" s="80">
        <f>+DSU!E49</f>
        <v>-4.2664514525363899E-2</v>
      </c>
      <c r="K10" s="71">
        <f>+DSU!C52</f>
        <v>-1114620.6499999985</v>
      </c>
      <c r="L10" s="64">
        <f>+DSU!D52</f>
        <v>-939218.5</v>
      </c>
      <c r="M10" s="72">
        <f>+DSU!E52</f>
        <v>-1878437</v>
      </c>
      <c r="N10" s="62">
        <f>+DSU!C53</f>
        <v>0</v>
      </c>
      <c r="O10" s="55">
        <f>+DSU!D53</f>
        <v>0</v>
      </c>
      <c r="P10" s="58">
        <f>+DSU!E53</f>
        <v>0</v>
      </c>
    </row>
    <row r="11" spans="1:28" s="38" customFormat="1" ht="13.8" customHeight="1">
      <c r="A11" s="85" t="s">
        <v>44</v>
      </c>
      <c r="B11" s="71">
        <f>+JSU!C44</f>
        <v>86157388.599999994</v>
      </c>
      <c r="C11" s="87">
        <f>+JSU!D44</f>
        <v>86425497</v>
      </c>
      <c r="D11" s="90">
        <f>+JSU!E44</f>
        <v>84772161</v>
      </c>
      <c r="E11" s="71">
        <f>+JSU!C48</f>
        <v>-1921444.400000006</v>
      </c>
      <c r="F11" s="64">
        <f>+JSU!D48</f>
        <v>-1653336</v>
      </c>
      <c r="G11" s="72">
        <f>+JSU!E48</f>
        <v>-3306672</v>
      </c>
      <c r="H11" s="79">
        <f>+JSU!C49</f>
        <v>-2.0184658994663606E-2</v>
      </c>
      <c r="I11" s="67">
        <f>+JSU!D49</f>
        <v>-1.8771093390849081E-2</v>
      </c>
      <c r="J11" s="80">
        <f>+JSU!E49</f>
        <v>-3.7542186781698163E-2</v>
      </c>
      <c r="K11" s="71">
        <f>+JSU!C52</f>
        <v>-1921444.3999999985</v>
      </c>
      <c r="L11" s="64">
        <f>+JSU!D52</f>
        <v>-1653336</v>
      </c>
      <c r="M11" s="72">
        <f>+JSU!E52</f>
        <v>-3306672</v>
      </c>
      <c r="N11" s="62">
        <f>+JSU!C53</f>
        <v>0</v>
      </c>
      <c r="O11" s="55">
        <f>+JSU!D53</f>
        <v>0</v>
      </c>
      <c r="P11" s="58">
        <f>+JSU!E53</f>
        <v>0</v>
      </c>
    </row>
    <row r="12" spans="1:28" s="38" customFormat="1" ht="13.8" customHeight="1">
      <c r="A12" s="85" t="s">
        <v>45</v>
      </c>
      <c r="B12" s="71">
        <f>+MSU!C44</f>
        <v>223073931.09999999</v>
      </c>
      <c r="C12" s="87">
        <f>+MSU!D44</f>
        <v>223676438.5</v>
      </c>
      <c r="D12" s="90">
        <f>+MSU!E44</f>
        <v>219645304</v>
      </c>
      <c r="E12" s="71">
        <f>+MSU!C48</f>
        <v>-4633641.900000006</v>
      </c>
      <c r="F12" s="64">
        <f>+MSU!D48</f>
        <v>-4031134.5</v>
      </c>
      <c r="G12" s="72">
        <f>+MSU!E48</f>
        <v>-8062269</v>
      </c>
      <c r="H12" s="79">
        <f>+MSU!C49</f>
        <v>-2.0988538733539154E-2</v>
      </c>
      <c r="I12" s="67">
        <f>+MSU!D49</f>
        <v>-1.7703120045111542E-2</v>
      </c>
      <c r="J12" s="80">
        <f>+MSU!E49</f>
        <v>-3.5406240090223084E-2</v>
      </c>
      <c r="K12" s="71">
        <f>+MSU!C52</f>
        <v>-4633641.900000006</v>
      </c>
      <c r="L12" s="64">
        <f>+MSU!D52</f>
        <v>-4031134.5</v>
      </c>
      <c r="M12" s="72">
        <f>+MSU!E52</f>
        <v>-8062269</v>
      </c>
      <c r="N12" s="62">
        <f>+MSU!C53</f>
        <v>0</v>
      </c>
      <c r="O12" s="55">
        <f>+MSU!D53</f>
        <v>0</v>
      </c>
      <c r="P12" s="58">
        <f>+MSU!E53</f>
        <v>0</v>
      </c>
    </row>
    <row r="13" spans="1:28" s="38" customFormat="1" ht="13.8" customHeight="1">
      <c r="A13" s="85" t="s">
        <v>46</v>
      </c>
      <c r="B13" s="71">
        <f>+MUW!C44</f>
        <v>28404289.050000001</v>
      </c>
      <c r="C13" s="87">
        <f>+MUW!D44</f>
        <v>28497179</v>
      </c>
      <c r="D13" s="90">
        <f>+MUW!E44</f>
        <v>27858188</v>
      </c>
      <c r="E13" s="71">
        <f>+MUW!C48</f>
        <v>-731880.94999999925</v>
      </c>
      <c r="F13" s="64">
        <f>+MUW!D48</f>
        <v>-638991</v>
      </c>
      <c r="G13" s="72">
        <f>+MUW!E48</f>
        <v>-1277982</v>
      </c>
      <c r="H13" s="79">
        <f>+MUW!C49</f>
        <v>-2.5069699620940633E-2</v>
      </c>
      <c r="I13" s="67">
        <f>+MUW!D49</f>
        <v>-2.1931194113708152E-2</v>
      </c>
      <c r="J13" s="80">
        <f>+MUW!E49</f>
        <v>-4.3862388227416303E-2</v>
      </c>
      <c r="K13" s="71">
        <f>+MUW!C52</f>
        <v>-731880.94999999925</v>
      </c>
      <c r="L13" s="64">
        <f>+MUW!D52</f>
        <v>-638991</v>
      </c>
      <c r="M13" s="72">
        <f>+MUW!E52</f>
        <v>-1277982</v>
      </c>
      <c r="N13" s="62">
        <f>+MUW!C53</f>
        <v>0</v>
      </c>
      <c r="O13" s="55">
        <f>+MUW!D53</f>
        <v>0</v>
      </c>
      <c r="P13" s="58">
        <f>+MUW!E53</f>
        <v>0</v>
      </c>
    </row>
    <row r="14" spans="1:28" s="38" customFormat="1" ht="13.8" customHeight="1">
      <c r="A14" s="85" t="s">
        <v>47</v>
      </c>
      <c r="B14" s="71">
        <f>+MVSU!C44</f>
        <v>32910900.550000001</v>
      </c>
      <c r="C14" s="87">
        <f>+MVSU!D44</f>
        <v>32995646.5</v>
      </c>
      <c r="D14" s="90">
        <f>+MVSU!E44</f>
        <v>32353242</v>
      </c>
      <c r="E14" s="71">
        <f>+MVSU!C48</f>
        <v>-727150.44999999925</v>
      </c>
      <c r="F14" s="64">
        <f>+MVSU!D48</f>
        <v>-642404.5</v>
      </c>
      <c r="G14" s="72">
        <f>+MVSU!E48</f>
        <v>-1284809</v>
      </c>
      <c r="H14" s="79">
        <f>+MVSU!C49</f>
        <v>-2.1847870829181971E-2</v>
      </c>
      <c r="I14" s="67">
        <f>+MVSU!D49</f>
        <v>-1.9097554135939682E-2</v>
      </c>
      <c r="J14" s="80">
        <f>+MVSU!E49</f>
        <v>-3.8195108271879365E-2</v>
      </c>
      <c r="K14" s="71">
        <f>+MVSU!C52</f>
        <v>-727150.44999999925</v>
      </c>
      <c r="L14" s="64">
        <f>+MVSU!D52</f>
        <v>-642404.5</v>
      </c>
      <c r="M14" s="72">
        <f>+MVSU!E52</f>
        <v>-1284809</v>
      </c>
      <c r="N14" s="62">
        <f>+MVSU!C53</f>
        <v>0</v>
      </c>
      <c r="O14" s="55">
        <f>+MVSU!D53</f>
        <v>0</v>
      </c>
      <c r="P14" s="58">
        <f>+MVSU!E53</f>
        <v>0</v>
      </c>
    </row>
    <row r="15" spans="1:28" s="38" customFormat="1" ht="13.8" customHeight="1">
      <c r="A15" s="85" t="s">
        <v>48</v>
      </c>
      <c r="B15" s="71">
        <f>+UM!C44</f>
        <v>213084593.69999999</v>
      </c>
      <c r="C15" s="87">
        <f>+UM!D44</f>
        <v>213566655</v>
      </c>
      <c r="D15" s="90">
        <f>+UM!E44</f>
        <v>210230470</v>
      </c>
      <c r="E15" s="71">
        <f>+UM!C48</f>
        <v>-3818246.3000000119</v>
      </c>
      <c r="F15" s="64">
        <f>+UM!D48</f>
        <v>-3336185</v>
      </c>
      <c r="G15" s="72">
        <f>+UM!E48</f>
        <v>-6672370</v>
      </c>
      <c r="H15" s="79">
        <f>+UM!C49</f>
        <v>-1.8081856008077778E-2</v>
      </c>
      <c r="I15" s="67">
        <f>+UM!D49</f>
        <v>-1.5381011147664088E-2</v>
      </c>
      <c r="J15" s="80">
        <f>+UM!E49</f>
        <v>-3.0762022295328175E-2</v>
      </c>
      <c r="K15" s="71">
        <f>+UM!C52</f>
        <v>-3818246.299999997</v>
      </c>
      <c r="L15" s="64">
        <f>+UM!D52</f>
        <v>-3336185</v>
      </c>
      <c r="M15" s="72">
        <f>+UM!E52</f>
        <v>-6672370</v>
      </c>
      <c r="N15" s="62">
        <f>+UM!C53</f>
        <v>0</v>
      </c>
      <c r="O15" s="55">
        <f>+UM!D53</f>
        <v>0</v>
      </c>
      <c r="P15" s="58">
        <f>+UM!E53</f>
        <v>0</v>
      </c>
    </row>
    <row r="16" spans="1:28" s="38" customFormat="1" ht="13.8" customHeight="1" thickBot="1">
      <c r="A16" s="86" t="s">
        <v>49</v>
      </c>
      <c r="B16" s="73">
        <f>+USM!C44</f>
        <v>177478053.34999999</v>
      </c>
      <c r="C16" s="91">
        <f>+USM!D44</f>
        <v>177986401</v>
      </c>
      <c r="D16" s="92">
        <f>+USM!E44</f>
        <v>174328144</v>
      </c>
      <c r="E16" s="73">
        <f>+USM!C48</f>
        <v>-4166604.650000006</v>
      </c>
      <c r="F16" s="74">
        <f>+USM!D48</f>
        <v>-3658257</v>
      </c>
      <c r="G16" s="75">
        <f>+USM!E48</f>
        <v>-7316514</v>
      </c>
      <c r="H16" s="81">
        <f>+USM!C49</f>
        <v>-2.2926456317517618E-2</v>
      </c>
      <c r="I16" s="82">
        <f>+USM!D49</f>
        <v>-2.0139634384403422E-2</v>
      </c>
      <c r="J16" s="83">
        <f>+USM!E49</f>
        <v>-4.0279268768806845E-2</v>
      </c>
      <c r="K16" s="73">
        <f>+USM!C52</f>
        <v>-4166604.650000006</v>
      </c>
      <c r="L16" s="74">
        <f>+USM!D52</f>
        <v>-3658257</v>
      </c>
      <c r="M16" s="75">
        <f>+USM!E52</f>
        <v>-7316514</v>
      </c>
      <c r="N16" s="63">
        <f>+USM!C53</f>
        <v>0</v>
      </c>
      <c r="O16" s="59">
        <f>+USM!D53</f>
        <v>0</v>
      </c>
      <c r="P16" s="60">
        <f>+USM!E53</f>
        <v>0</v>
      </c>
    </row>
    <row r="17" spans="1:13" s="149" customFormat="1" ht="10.199999999999999">
      <c r="A17" s="148" t="s">
        <v>96</v>
      </c>
    </row>
    <row r="18" spans="1:13" ht="24.6">
      <c r="A18" s="51" t="s">
        <v>54</v>
      </c>
      <c r="B18" s="50">
        <f>+Summary!C10</f>
        <v>31450554</v>
      </c>
      <c r="C18" s="50">
        <f>+B18/2</f>
        <v>15725277</v>
      </c>
      <c r="D18" s="50">
        <v>0</v>
      </c>
    </row>
    <row r="19" spans="1:13" ht="15" thickBot="1">
      <c r="A19" s="199" t="s">
        <v>152</v>
      </c>
    </row>
    <row r="20" spans="1:13" ht="15" thickBot="1">
      <c r="A20" s="44"/>
      <c r="B20" s="200" t="s">
        <v>64</v>
      </c>
      <c r="C20" s="201"/>
      <c r="D20" s="202"/>
      <c r="E20" s="200" t="s">
        <v>65</v>
      </c>
      <c r="F20" s="201"/>
      <c r="G20" s="202"/>
      <c r="H20" s="200" t="s">
        <v>12</v>
      </c>
      <c r="I20" s="201"/>
      <c r="J20" s="202"/>
      <c r="K20" s="200" t="s">
        <v>67</v>
      </c>
      <c r="L20" s="201"/>
      <c r="M20" s="202"/>
    </row>
    <row r="21" spans="1:13" ht="15" thickBot="1">
      <c r="A21" s="45" t="s">
        <v>52</v>
      </c>
      <c r="B21" s="39" t="s">
        <v>1</v>
      </c>
      <c r="C21" s="40" t="s">
        <v>2</v>
      </c>
      <c r="D21" s="41" t="s">
        <v>3</v>
      </c>
      <c r="E21" s="39" t="s">
        <v>1</v>
      </c>
      <c r="F21" s="40" t="s">
        <v>2</v>
      </c>
      <c r="G21" s="41" t="s">
        <v>3</v>
      </c>
      <c r="H21" s="39" t="s">
        <v>1</v>
      </c>
      <c r="I21" s="40" t="s">
        <v>2</v>
      </c>
      <c r="J21" s="41" t="s">
        <v>3</v>
      </c>
      <c r="K21" s="39" t="s">
        <v>1</v>
      </c>
      <c r="L21" s="40" t="s">
        <v>2</v>
      </c>
      <c r="M21" s="41" t="s">
        <v>3</v>
      </c>
    </row>
    <row r="22" spans="1:13" ht="15" thickBot="1">
      <c r="A22" s="65" t="s">
        <v>42</v>
      </c>
      <c r="B22" s="53">
        <f>+Summary!C33</f>
        <v>374379707.19999999</v>
      </c>
      <c r="C22" s="53">
        <f>+Summary!D33</f>
        <v>376703333</v>
      </c>
      <c r="D22" s="53">
        <f>+Summary!E33</f>
        <v>360978056</v>
      </c>
      <c r="E22" s="53">
        <f>+Summary!C40</f>
        <v>415149304</v>
      </c>
      <c r="F22" s="53">
        <f>+Summary!D40</f>
        <v>415149304</v>
      </c>
      <c r="G22" s="53">
        <f>+Summary!E40</f>
        <v>415149304</v>
      </c>
      <c r="H22" s="53">
        <f>+Summary!C42</f>
        <v>54107476</v>
      </c>
      <c r="I22" s="53">
        <f>+Summary!D42</f>
        <v>54107476</v>
      </c>
      <c r="J22" s="53">
        <f>+Summary!E42</f>
        <v>54107476</v>
      </c>
      <c r="K22" s="46">
        <f>+B22+E22+H22</f>
        <v>843636487.20000005</v>
      </c>
      <c r="L22" s="46">
        <f>+C22+F22+I22</f>
        <v>845960113</v>
      </c>
      <c r="M22" s="47">
        <f>+D22+G22+J22</f>
        <v>830234836</v>
      </c>
    </row>
    <row r="23" spans="1:13">
      <c r="A23" s="84" t="s">
        <v>41</v>
      </c>
      <c r="B23" s="68">
        <f>+ASU!C33</f>
        <v>19422457.5</v>
      </c>
      <c r="C23" s="68">
        <f>+ASU!D33</f>
        <v>19532020.5</v>
      </c>
      <c r="D23" s="94">
        <f>+ASU!E33</f>
        <v>18706270</v>
      </c>
      <c r="E23" s="68">
        <f>+ASU!C40</f>
        <v>17312471</v>
      </c>
      <c r="F23" s="88">
        <f>+ASU!D40</f>
        <v>17312471</v>
      </c>
      <c r="G23" s="89">
        <f>+ASU!E40</f>
        <v>17312471</v>
      </c>
      <c r="H23" s="68">
        <f>+ASU!C42</f>
        <v>2878935</v>
      </c>
      <c r="I23" s="88">
        <f>+ASU!D42</f>
        <v>2878935</v>
      </c>
      <c r="J23" s="89">
        <f>+ASU!E42</f>
        <v>2878935</v>
      </c>
      <c r="K23" s="68">
        <f>+H23+E23+B23</f>
        <v>39613863.5</v>
      </c>
      <c r="L23" s="88">
        <f>+I23+F23+C23</f>
        <v>39723426.5</v>
      </c>
      <c r="M23" s="89">
        <f>+J23+G23+D23</f>
        <v>38897676</v>
      </c>
    </row>
    <row r="24" spans="1:13">
      <c r="A24" s="85" t="s">
        <v>43</v>
      </c>
      <c r="B24" s="71">
        <f>+DSU!C33</f>
        <v>23056229.350000001</v>
      </c>
      <c r="C24" s="71">
        <f>+DSU!D33</f>
        <v>23231631.5</v>
      </c>
      <c r="D24" s="95">
        <f>+DSU!E33</f>
        <v>22292413</v>
      </c>
      <c r="E24" s="71">
        <f>+DSU!C40</f>
        <v>17724059</v>
      </c>
      <c r="F24" s="87">
        <f>+DSU!D40</f>
        <v>17724059</v>
      </c>
      <c r="G24" s="90">
        <f>+DSU!E40</f>
        <v>17724059</v>
      </c>
      <c r="H24" s="71">
        <f>+DSU!C42</f>
        <v>2133179</v>
      </c>
      <c r="I24" s="87">
        <f>+DSU!D42</f>
        <v>2133179</v>
      </c>
      <c r="J24" s="90">
        <f>+DSU!E42</f>
        <v>2133179</v>
      </c>
      <c r="K24" s="71">
        <f t="shared" ref="K24:K30" si="0">+H24+E24+B24</f>
        <v>42913467.350000001</v>
      </c>
      <c r="L24" s="87">
        <f t="shared" ref="L24:L30" si="1">+I24+F24+C24</f>
        <v>43088869.5</v>
      </c>
      <c r="M24" s="90">
        <f t="shared" ref="M24:M30" si="2">+J24+G24+D24</f>
        <v>42149651</v>
      </c>
    </row>
    <row r="25" spans="1:13">
      <c r="A25" s="85" t="s">
        <v>44</v>
      </c>
      <c r="B25" s="71">
        <f>+JSU!C33</f>
        <v>39814115.600000001</v>
      </c>
      <c r="C25" s="71">
        <f>+JSU!D33</f>
        <v>40082224</v>
      </c>
      <c r="D25" s="95">
        <f>+JSU!E33</f>
        <v>38428888</v>
      </c>
      <c r="E25" s="71">
        <f>+JSU!C40</f>
        <v>39363399</v>
      </c>
      <c r="F25" s="87">
        <f>+JSU!D40</f>
        <v>39363399</v>
      </c>
      <c r="G25" s="90">
        <f>+JSU!E40</f>
        <v>39363399</v>
      </c>
      <c r="H25" s="71">
        <f>+JSU!C42</f>
        <v>6979874</v>
      </c>
      <c r="I25" s="87">
        <f>+JSU!D42</f>
        <v>6979874</v>
      </c>
      <c r="J25" s="90">
        <f>+JSU!E42</f>
        <v>6979874</v>
      </c>
      <c r="K25" s="71">
        <f t="shared" si="0"/>
        <v>86157388.599999994</v>
      </c>
      <c r="L25" s="87">
        <f t="shared" si="1"/>
        <v>86425497</v>
      </c>
      <c r="M25" s="90">
        <f t="shared" si="2"/>
        <v>84772161</v>
      </c>
    </row>
    <row r="26" spans="1:13">
      <c r="A26" s="85" t="s">
        <v>45</v>
      </c>
      <c r="B26" s="71">
        <f>+MSU!C33</f>
        <v>96101465.099999994</v>
      </c>
      <c r="C26" s="71">
        <f>+MSU!D33</f>
        <v>96703972.5</v>
      </c>
      <c r="D26" s="95">
        <f>+MSU!E33</f>
        <v>92672838</v>
      </c>
      <c r="E26" s="71">
        <f>+MSU!C40</f>
        <v>106649242</v>
      </c>
      <c r="F26" s="87">
        <f>+MSU!D40</f>
        <v>106649242</v>
      </c>
      <c r="G26" s="90">
        <f>+MSU!E40</f>
        <v>106649242</v>
      </c>
      <c r="H26" s="71">
        <f>+MSU!C42</f>
        <v>20323224</v>
      </c>
      <c r="I26" s="87">
        <f>+MSU!D42</f>
        <v>20323224</v>
      </c>
      <c r="J26" s="90">
        <f>+MSU!E42</f>
        <v>20323224</v>
      </c>
      <c r="K26" s="71">
        <f t="shared" si="0"/>
        <v>223073931.09999999</v>
      </c>
      <c r="L26" s="87">
        <f t="shared" si="1"/>
        <v>223676438.5</v>
      </c>
      <c r="M26" s="90">
        <f t="shared" si="2"/>
        <v>219645304</v>
      </c>
    </row>
    <row r="27" spans="1:13">
      <c r="A27" s="85" t="s">
        <v>46</v>
      </c>
      <c r="B27" s="71">
        <f>+MUW!C33</f>
        <v>15183720.050000001</v>
      </c>
      <c r="C27" s="71">
        <f>+MUW!D33</f>
        <v>15276610</v>
      </c>
      <c r="D27" s="95">
        <f>+MUW!E33</f>
        <v>14637619</v>
      </c>
      <c r="E27" s="71">
        <f>+MUW!C40</f>
        <v>12103627</v>
      </c>
      <c r="F27" s="87">
        <f>+MUW!D40</f>
        <v>12103627</v>
      </c>
      <c r="G27" s="90">
        <f>+MUW!E40</f>
        <v>12103627</v>
      </c>
      <c r="H27" s="71">
        <f>+MUW!C42</f>
        <v>1116942</v>
      </c>
      <c r="I27" s="87">
        <f>+MUW!D42</f>
        <v>1116942</v>
      </c>
      <c r="J27" s="90">
        <f>+MUW!E42</f>
        <v>1116942</v>
      </c>
      <c r="K27" s="71">
        <f t="shared" si="0"/>
        <v>28404289.050000001</v>
      </c>
      <c r="L27" s="87">
        <f t="shared" si="1"/>
        <v>28497179</v>
      </c>
      <c r="M27" s="90">
        <f t="shared" si="2"/>
        <v>27858188</v>
      </c>
    </row>
    <row r="28" spans="1:13">
      <c r="A28" s="85" t="s">
        <v>47</v>
      </c>
      <c r="B28" s="71">
        <f>+MVSU!C33</f>
        <v>15100667.550000001</v>
      </c>
      <c r="C28" s="71">
        <f>+MVSU!D33</f>
        <v>15185413.5</v>
      </c>
      <c r="D28" s="95">
        <f>+MVSU!E33</f>
        <v>14543009</v>
      </c>
      <c r="E28" s="71">
        <f>+MVSU!C40</f>
        <v>15687656</v>
      </c>
      <c r="F28" s="87">
        <f>+MVSU!D40</f>
        <v>15687656</v>
      </c>
      <c r="G28" s="90">
        <f>+MVSU!E40</f>
        <v>15687656</v>
      </c>
      <c r="H28" s="71">
        <f>+MVSU!C42</f>
        <v>2122577</v>
      </c>
      <c r="I28" s="87">
        <f>+MVSU!D42</f>
        <v>2122577</v>
      </c>
      <c r="J28" s="90">
        <f>+MVSU!E42</f>
        <v>2122577</v>
      </c>
      <c r="K28" s="71">
        <f t="shared" si="0"/>
        <v>32910900.550000001</v>
      </c>
      <c r="L28" s="87">
        <f t="shared" si="1"/>
        <v>32995646.5</v>
      </c>
      <c r="M28" s="90">
        <f t="shared" si="2"/>
        <v>32353242</v>
      </c>
    </row>
    <row r="29" spans="1:13">
      <c r="A29" s="85" t="s">
        <v>48</v>
      </c>
      <c r="B29" s="71">
        <f>+UM!C33</f>
        <v>79219049.700000003</v>
      </c>
      <c r="C29" s="71">
        <f>+UM!D33</f>
        <v>79701111</v>
      </c>
      <c r="D29" s="95">
        <f>+UM!E33</f>
        <v>76364926</v>
      </c>
      <c r="E29" s="71">
        <f>+UM!C40</f>
        <v>120601476</v>
      </c>
      <c r="F29" s="87">
        <f>+UM!D40</f>
        <v>120601476</v>
      </c>
      <c r="G29" s="90">
        <f>+UM!E40</f>
        <v>120601476</v>
      </c>
      <c r="H29" s="71">
        <f>+UM!C42</f>
        <v>13264068</v>
      </c>
      <c r="I29" s="87">
        <f>+UM!D42</f>
        <v>13264068</v>
      </c>
      <c r="J29" s="90">
        <f>+UM!E42</f>
        <v>13264068</v>
      </c>
      <c r="K29" s="71">
        <f t="shared" si="0"/>
        <v>213084593.69999999</v>
      </c>
      <c r="L29" s="87">
        <f t="shared" si="1"/>
        <v>213566655</v>
      </c>
      <c r="M29" s="90">
        <f t="shared" si="2"/>
        <v>210230470</v>
      </c>
    </row>
    <row r="30" spans="1:13" ht="15" thickBot="1">
      <c r="A30" s="86" t="s">
        <v>49</v>
      </c>
      <c r="B30" s="73">
        <f>+USM!C33</f>
        <v>86482002.349999994</v>
      </c>
      <c r="C30" s="73">
        <f>+USM!D33</f>
        <v>86990350</v>
      </c>
      <c r="D30" s="96">
        <f>+USM!E33</f>
        <v>83332093</v>
      </c>
      <c r="E30" s="73">
        <f>+USM!C40</f>
        <v>85707374</v>
      </c>
      <c r="F30" s="91">
        <f>+USM!D40</f>
        <v>85707374</v>
      </c>
      <c r="G30" s="92">
        <f>+USM!E40</f>
        <v>85707374</v>
      </c>
      <c r="H30" s="73">
        <f>+USM!C42</f>
        <v>5288677</v>
      </c>
      <c r="I30" s="91">
        <f>+USM!D42</f>
        <v>5288677</v>
      </c>
      <c r="J30" s="92">
        <f>+USM!E42</f>
        <v>5288677</v>
      </c>
      <c r="K30" s="73">
        <f t="shared" si="0"/>
        <v>177478053.34999999</v>
      </c>
      <c r="L30" s="91">
        <f t="shared" si="1"/>
        <v>177986401</v>
      </c>
      <c r="M30" s="92">
        <f t="shared" si="2"/>
        <v>174328144</v>
      </c>
    </row>
    <row r="31" spans="1:13" s="114" customFormat="1" ht="15.6" hidden="1" customHeight="1">
      <c r="A31" s="112" t="s">
        <v>66</v>
      </c>
      <c r="B31" s="113">
        <f t="shared" ref="B31:M31" si="3">SUM(B23:B30)</f>
        <v>374379707.20000005</v>
      </c>
      <c r="C31" s="113">
        <f t="shared" si="3"/>
        <v>376703333</v>
      </c>
      <c r="D31" s="113">
        <f t="shared" si="3"/>
        <v>360978056</v>
      </c>
      <c r="E31" s="113">
        <f t="shared" si="3"/>
        <v>415149304</v>
      </c>
      <c r="F31" s="113">
        <f t="shared" si="3"/>
        <v>415149304</v>
      </c>
      <c r="G31" s="113">
        <f t="shared" si="3"/>
        <v>415149304</v>
      </c>
      <c r="H31" s="113">
        <f t="shared" si="3"/>
        <v>54107476</v>
      </c>
      <c r="I31" s="113">
        <f t="shared" si="3"/>
        <v>54107476</v>
      </c>
      <c r="J31" s="113">
        <f t="shared" si="3"/>
        <v>54107476</v>
      </c>
      <c r="K31" s="113">
        <f t="shared" si="3"/>
        <v>843636487.19999993</v>
      </c>
      <c r="L31" s="113">
        <f t="shared" si="3"/>
        <v>845960113</v>
      </c>
      <c r="M31" s="113">
        <f t="shared" si="3"/>
        <v>830234836</v>
      </c>
    </row>
    <row r="32" spans="1:13" s="115" customFormat="1" ht="12" hidden="1">
      <c r="A32" s="115" t="s">
        <v>53</v>
      </c>
    </row>
    <row r="33" spans="1:16" s="115" customFormat="1" ht="12" hidden="1">
      <c r="A33" s="115" t="s">
        <v>40</v>
      </c>
      <c r="B33" s="116">
        <f>+B8</f>
        <v>843636487.20000005</v>
      </c>
      <c r="C33" s="116">
        <f t="shared" ref="C33:P33" si="4">+C8</f>
        <v>845960113</v>
      </c>
      <c r="D33" s="116">
        <f t="shared" si="4"/>
        <v>830234836</v>
      </c>
      <c r="E33" s="116">
        <f t="shared" si="4"/>
        <v>-18048902.799999952</v>
      </c>
      <c r="F33" s="116">
        <f t="shared" si="4"/>
        <v>-15725277</v>
      </c>
      <c r="G33" s="116">
        <f t="shared" si="4"/>
        <v>-31450554</v>
      </c>
      <c r="H33" s="117">
        <f>+H8</f>
        <v>-2.1006137096635031E-2</v>
      </c>
      <c r="I33" s="117">
        <f t="shared" ref="I33:J33" si="5">+I8</f>
        <v>-1.8249441365136759E-2</v>
      </c>
      <c r="J33" s="117">
        <f t="shared" si="5"/>
        <v>-3.6498882730273519E-2</v>
      </c>
      <c r="K33" s="116">
        <f t="shared" si="4"/>
        <v>-18048902.800000012</v>
      </c>
      <c r="L33" s="116">
        <f t="shared" si="4"/>
        <v>-15725277</v>
      </c>
      <c r="M33" s="116">
        <f t="shared" si="4"/>
        <v>-31450554</v>
      </c>
      <c r="N33" s="116">
        <f t="shared" si="4"/>
        <v>0</v>
      </c>
      <c r="O33" s="116">
        <f t="shared" si="4"/>
        <v>0</v>
      </c>
      <c r="P33" s="116">
        <f t="shared" si="4"/>
        <v>0</v>
      </c>
    </row>
    <row r="34" spans="1:16" s="115" customFormat="1" ht="12" hidden="1">
      <c r="A34" s="115" t="s">
        <v>55</v>
      </c>
      <c r="B34" s="113">
        <f>SUM(B9:B16)</f>
        <v>843636487.19999993</v>
      </c>
      <c r="C34" s="113">
        <f t="shared" ref="C34:P34" si="6">SUM(C9:C16)</f>
        <v>845960113</v>
      </c>
      <c r="D34" s="113">
        <f>SUM(D9:D16)</f>
        <v>830234836</v>
      </c>
      <c r="E34" s="113">
        <f t="shared" si="6"/>
        <v>-18048902.800000027</v>
      </c>
      <c r="F34" s="113">
        <f t="shared" si="6"/>
        <v>-15725277</v>
      </c>
      <c r="G34" s="113">
        <f t="shared" si="6"/>
        <v>-31450554</v>
      </c>
      <c r="H34" s="117">
        <f>AVERAGE(H9:H16)</f>
        <v>-2.196728055840734E-2</v>
      </c>
      <c r="I34" s="117">
        <f t="shared" ref="I34:J34" si="7">AVERAGE(I9:I16)</f>
        <v>-1.9340004822422308E-2</v>
      </c>
      <c r="J34" s="117">
        <f t="shared" si="7"/>
        <v>-3.8680009644844617E-2</v>
      </c>
      <c r="K34" s="113">
        <f t="shared" si="6"/>
        <v>-18048902.800000004</v>
      </c>
      <c r="L34" s="113">
        <f t="shared" si="6"/>
        <v>-15725277</v>
      </c>
      <c r="M34" s="113">
        <f t="shared" si="6"/>
        <v>-31450554</v>
      </c>
      <c r="N34" s="113">
        <f t="shared" si="6"/>
        <v>0</v>
      </c>
      <c r="O34" s="113">
        <f t="shared" si="6"/>
        <v>0</v>
      </c>
      <c r="P34" s="113">
        <f t="shared" si="6"/>
        <v>0</v>
      </c>
    </row>
    <row r="35" spans="1:16" s="115" customFormat="1" ht="12.6" thickBot="1">
      <c r="B35" s="113">
        <f>+B33-B34</f>
        <v>0</v>
      </c>
      <c r="C35" s="113">
        <f t="shared" ref="C35:P35" si="8">+C33-C34</f>
        <v>0</v>
      </c>
      <c r="D35" s="113">
        <f t="shared" si="8"/>
        <v>0</v>
      </c>
      <c r="E35" s="113">
        <f t="shared" si="8"/>
        <v>7.4505805969238281E-8</v>
      </c>
      <c r="F35" s="113">
        <f t="shared" si="8"/>
        <v>0</v>
      </c>
      <c r="G35" s="113">
        <f t="shared" si="8"/>
        <v>0</v>
      </c>
      <c r="H35" s="117" t="s">
        <v>24</v>
      </c>
      <c r="I35" s="117" t="s">
        <v>24</v>
      </c>
      <c r="J35" s="117" t="s">
        <v>24</v>
      </c>
      <c r="K35" s="113">
        <f t="shared" si="8"/>
        <v>0</v>
      </c>
      <c r="L35" s="113">
        <f t="shared" si="8"/>
        <v>0</v>
      </c>
      <c r="M35" s="113">
        <f t="shared" si="8"/>
        <v>0</v>
      </c>
      <c r="N35" s="113">
        <f t="shared" si="8"/>
        <v>0</v>
      </c>
      <c r="O35" s="113">
        <f t="shared" si="8"/>
        <v>0</v>
      </c>
      <c r="P35" s="113">
        <f t="shared" si="8"/>
        <v>0</v>
      </c>
    </row>
    <row r="36" spans="1:16" s="38" customFormat="1" ht="36.6" customHeight="1" thickBot="1">
      <c r="A36" s="212" t="s">
        <v>63</v>
      </c>
      <c r="B36" s="213"/>
      <c r="C36" s="213"/>
      <c r="D36" s="214"/>
      <c r="E36" s="49"/>
      <c r="F36" s="215" t="s">
        <v>52</v>
      </c>
      <c r="G36" s="203" t="s">
        <v>83</v>
      </c>
      <c r="H36" s="204"/>
      <c r="I36" s="205"/>
      <c r="J36" s="203" t="s">
        <v>84</v>
      </c>
      <c r="K36" s="204"/>
      <c r="L36" s="205"/>
      <c r="M36" s="203" t="s">
        <v>82</v>
      </c>
      <c r="N36" s="204"/>
      <c r="O36" s="205"/>
      <c r="P36" s="49"/>
    </row>
    <row r="37" spans="1:16" ht="97.2" thickBot="1">
      <c r="A37" s="107" t="s">
        <v>62</v>
      </c>
      <c r="B37" s="108" t="str">
        <f>+E1</f>
        <v>FY 2010</v>
      </c>
      <c r="C37" s="108" t="str">
        <f>+F1</f>
        <v>FY 2011</v>
      </c>
      <c r="D37" s="109" t="str">
        <f>+G1</f>
        <v>FY 2012</v>
      </c>
      <c r="F37" s="216"/>
      <c r="G37" s="124" t="s">
        <v>79</v>
      </c>
      <c r="H37" s="125" t="s">
        <v>80</v>
      </c>
      <c r="I37" s="126" t="s">
        <v>81</v>
      </c>
      <c r="J37" s="124" t="s">
        <v>79</v>
      </c>
      <c r="K37" s="125" t="s">
        <v>80</v>
      </c>
      <c r="L37" s="126" t="s">
        <v>81</v>
      </c>
      <c r="M37" s="124" t="s">
        <v>85</v>
      </c>
      <c r="N37" s="125" t="s">
        <v>86</v>
      </c>
      <c r="O37" s="126" t="s">
        <v>87</v>
      </c>
    </row>
    <row r="38" spans="1:16" ht="15" thickBot="1">
      <c r="A38" s="110" t="s">
        <v>41</v>
      </c>
      <c r="B38" s="170">
        <f>+E3</f>
        <v>0</v>
      </c>
      <c r="C38" s="170">
        <f>+F3</f>
        <v>0</v>
      </c>
      <c r="D38" s="170">
        <f>+G3</f>
        <v>0</v>
      </c>
      <c r="F38" s="138" t="s">
        <v>40</v>
      </c>
      <c r="G38" s="139">
        <f t="shared" ref="G38:L38" si="9">SUM(G39:G46)</f>
        <v>861685390</v>
      </c>
      <c r="H38" s="140">
        <f t="shared" si="9"/>
        <v>878950118.47404003</v>
      </c>
      <c r="I38" s="141">
        <f t="shared" si="9"/>
        <v>905318622.0282613</v>
      </c>
      <c r="J38" s="139">
        <f t="shared" si="9"/>
        <v>0</v>
      </c>
      <c r="K38" s="140">
        <f t="shared" si="9"/>
        <v>17264728.474040054</v>
      </c>
      <c r="L38" s="141">
        <f t="shared" si="9"/>
        <v>43633232.028261259</v>
      </c>
      <c r="M38" s="142">
        <f>+Summary!D124</f>
        <v>4.8334822696997376E-2</v>
      </c>
      <c r="N38" s="143">
        <f>+Summary!E124</f>
        <v>0.12215683188728635</v>
      </c>
      <c r="O38" s="144">
        <f>+Summary!F124</f>
        <v>7.3822009190288987E-2</v>
      </c>
    </row>
    <row r="39" spans="1:16">
      <c r="A39" s="111" t="s">
        <v>43</v>
      </c>
      <c r="B39" s="171">
        <f>+E3</f>
        <v>0</v>
      </c>
      <c r="C39" s="171">
        <f>+F3</f>
        <v>0</v>
      </c>
      <c r="D39" s="171">
        <f>+G3</f>
        <v>0</v>
      </c>
      <c r="F39" s="134" t="str">
        <f>+A38</f>
        <v>ASU</v>
      </c>
      <c r="G39" s="121">
        <f>+Summary!C80</f>
        <v>40549177</v>
      </c>
      <c r="H39" s="122">
        <f>+Summary!D93</f>
        <v>41361620.310372002</v>
      </c>
      <c r="I39" s="123">
        <f>+Summary!E93</f>
        <v>42602468.919683166</v>
      </c>
      <c r="J39" s="127">
        <f>+G39-G39</f>
        <v>0</v>
      </c>
      <c r="K39" s="128">
        <f>+H39-G39</f>
        <v>812443.31037200242</v>
      </c>
      <c r="L39" s="129">
        <f>+I39-G39</f>
        <v>2053291.9196831658</v>
      </c>
      <c r="M39" s="130">
        <f>+Summary!D116</f>
        <v>4.8919970999542525E-2</v>
      </c>
      <c r="N39" s="131">
        <f>+Summary!E116</f>
        <v>0.12363568003101989</v>
      </c>
      <c r="O39" s="132">
        <f>+Summary!F116</f>
        <v>7.4715709031477368E-2</v>
      </c>
    </row>
    <row r="40" spans="1:16">
      <c r="A40" s="111" t="s">
        <v>44</v>
      </c>
      <c r="B40" s="171">
        <f>+E3</f>
        <v>0</v>
      </c>
      <c r="C40" s="171">
        <f>+F3</f>
        <v>0</v>
      </c>
      <c r="D40" s="171">
        <f>+G3</f>
        <v>0</v>
      </c>
      <c r="F40" s="133" t="str">
        <f t="shared" ref="F40:F46" si="10">+A39</f>
        <v>DSU</v>
      </c>
      <c r="G40" s="71">
        <f>+Summary!C81</f>
        <v>44028088</v>
      </c>
      <c r="H40" s="64">
        <f>+Summary!D94</f>
        <v>44910234.771168001</v>
      </c>
      <c r="I40" s="72">
        <f>+Summary!E94</f>
        <v>46257541.814303041</v>
      </c>
      <c r="J40" s="71">
        <f t="shared" ref="J40:J46" si="11">+G40-G40</f>
        <v>0</v>
      </c>
      <c r="K40" s="64">
        <f t="shared" ref="K40:K46" si="12">+H40-G40</f>
        <v>882146.771168001</v>
      </c>
      <c r="L40" s="72">
        <f t="shared" ref="L40:L46" si="13">+I40-G40</f>
        <v>2229453.8143030405</v>
      </c>
      <c r="M40" s="79">
        <f>+Summary!D117</f>
        <v>5.5746689953868195E-2</v>
      </c>
      <c r="N40" s="67">
        <f>+Summary!E117</f>
        <v>0.1408888799625283</v>
      </c>
      <c r="O40" s="80">
        <f>+Summary!F117</f>
        <v>8.5142190008660107E-2</v>
      </c>
    </row>
    <row r="41" spans="1:16">
      <c r="A41" s="111" t="s">
        <v>45</v>
      </c>
      <c r="B41" s="171">
        <f>+E3</f>
        <v>0</v>
      </c>
      <c r="C41" s="171">
        <f>+F3</f>
        <v>0</v>
      </c>
      <c r="D41" s="171">
        <f>+G3</f>
        <v>0</v>
      </c>
      <c r="F41" s="133" t="str">
        <f t="shared" si="10"/>
        <v>JSU</v>
      </c>
      <c r="G41" s="71">
        <f>+Summary!C82</f>
        <v>88078833</v>
      </c>
      <c r="H41" s="64">
        <f>+Summary!D95</f>
        <v>89843580.497988001</v>
      </c>
      <c r="I41" s="72">
        <f>+Summary!E95</f>
        <v>92538887.912927642</v>
      </c>
      <c r="J41" s="71">
        <f t="shared" si="11"/>
        <v>0</v>
      </c>
      <c r="K41" s="64">
        <f t="shared" si="12"/>
        <v>1764747.4979880005</v>
      </c>
      <c r="L41" s="72">
        <f t="shared" si="13"/>
        <v>4460054.9129276425</v>
      </c>
      <c r="M41" s="79">
        <f>+Summary!D118</f>
        <v>4.6569648025269972E-2</v>
      </c>
      <c r="N41" s="67">
        <f>+Summary!E118</f>
        <v>0.11769569737609493</v>
      </c>
      <c r="O41" s="80">
        <f>+Summary!F118</f>
        <v>7.1126049350824963E-2</v>
      </c>
    </row>
    <row r="42" spans="1:16">
      <c r="A42" s="111" t="s">
        <v>46</v>
      </c>
      <c r="B42" s="171">
        <f>+E3</f>
        <v>0</v>
      </c>
      <c r="C42" s="171">
        <f>+F3</f>
        <v>0</v>
      </c>
      <c r="D42" s="171">
        <f>+G3</f>
        <v>0</v>
      </c>
      <c r="F42" s="133" t="str">
        <f t="shared" si="10"/>
        <v>MSU</v>
      </c>
      <c r="G42" s="71">
        <f>+Summary!C83</f>
        <v>227707573</v>
      </c>
      <c r="H42" s="64">
        <f>+Summary!D96</f>
        <v>232269921.93262801</v>
      </c>
      <c r="I42" s="72">
        <f>+Summary!E96</f>
        <v>239238019.59060684</v>
      </c>
      <c r="J42" s="71">
        <f t="shared" si="11"/>
        <v>0</v>
      </c>
      <c r="K42" s="64">
        <f t="shared" si="12"/>
        <v>4562348.9326280057</v>
      </c>
      <c r="L42" s="72">
        <f t="shared" si="13"/>
        <v>11530446.590606838</v>
      </c>
      <c r="M42" s="79">
        <f>+Summary!D119</f>
        <v>4.670078298825308E-2</v>
      </c>
      <c r="N42" s="67">
        <f>+Summary!E119</f>
        <v>0.11802711540421276</v>
      </c>
      <c r="O42" s="80">
        <f>+Summary!F119</f>
        <v>7.1326332415959676E-2</v>
      </c>
    </row>
    <row r="43" spans="1:16">
      <c r="A43" s="111" t="s">
        <v>47</v>
      </c>
      <c r="B43" s="171">
        <f>+E3</f>
        <v>0</v>
      </c>
      <c r="C43" s="171">
        <f>+F3</f>
        <v>0</v>
      </c>
      <c r="D43" s="171">
        <f>+G3</f>
        <v>0</v>
      </c>
      <c r="F43" s="133" t="str">
        <f t="shared" si="10"/>
        <v>MUW</v>
      </c>
      <c r="G43" s="71">
        <f>+Summary!C84</f>
        <v>29136170</v>
      </c>
      <c r="H43" s="64">
        <f>+Summary!D97</f>
        <v>29719942.30212</v>
      </c>
      <c r="I43" s="72">
        <f>+Summary!E97</f>
        <v>30611540.5711836</v>
      </c>
      <c r="J43" s="71">
        <f t="shared" si="11"/>
        <v>0</v>
      </c>
      <c r="K43" s="64">
        <f t="shared" si="12"/>
        <v>583772.30212000012</v>
      </c>
      <c r="L43" s="72">
        <f t="shared" si="13"/>
        <v>1475370.5711835995</v>
      </c>
      <c r="M43" s="79">
        <f>+Summary!D120</f>
        <v>5.834397414673638E-2</v>
      </c>
      <c r="N43" s="67">
        <f>+Summary!E120</f>
        <v>0.14745300890328508</v>
      </c>
      <c r="O43" s="80">
        <f>+Summary!F120</f>
        <v>8.9109034756548702E-2</v>
      </c>
    </row>
    <row r="44" spans="1:16">
      <c r="A44" s="111" t="s">
        <v>48</v>
      </c>
      <c r="B44" s="171">
        <f>+E3</f>
        <v>0</v>
      </c>
      <c r="C44" s="171">
        <f>+F3</f>
        <v>0</v>
      </c>
      <c r="D44" s="171">
        <f>+G3</f>
        <v>0</v>
      </c>
      <c r="F44" s="133" t="str">
        <f t="shared" si="10"/>
        <v>MVSU</v>
      </c>
      <c r="G44" s="71">
        <f>+Summary!C85</f>
        <v>33638051</v>
      </c>
      <c r="H44" s="64">
        <f>+Summary!D98</f>
        <v>34312022.989836</v>
      </c>
      <c r="I44" s="72">
        <f>+Summary!E98</f>
        <v>35341383.679531083</v>
      </c>
      <c r="J44" s="71">
        <f t="shared" si="11"/>
        <v>0</v>
      </c>
      <c r="K44" s="64">
        <f t="shared" si="12"/>
        <v>673971.98983599991</v>
      </c>
      <c r="L44" s="72">
        <f t="shared" si="13"/>
        <v>1703332.6795310825</v>
      </c>
      <c r="M44" s="79">
        <f>+Summary!D121</f>
        <v>4.5733013268282087E-2</v>
      </c>
      <c r="N44" s="67">
        <f>+Summary!E121</f>
        <v>0.11558126629602042</v>
      </c>
      <c r="O44" s="80">
        <f>+Summary!F121</f>
        <v>6.9848253027738338E-2</v>
      </c>
    </row>
    <row r="45" spans="1:16">
      <c r="A45" s="111" t="s">
        <v>49</v>
      </c>
      <c r="B45" s="171">
        <f>+E3</f>
        <v>0</v>
      </c>
      <c r="C45" s="171">
        <f>+F3</f>
        <v>0</v>
      </c>
      <c r="D45" s="171">
        <f>+G3</f>
        <v>0</v>
      </c>
      <c r="F45" s="133" t="str">
        <f t="shared" si="10"/>
        <v>UM</v>
      </c>
      <c r="G45" s="71">
        <f>+Summary!C86</f>
        <v>216902840</v>
      </c>
      <c r="H45" s="64">
        <f>+Summary!D99</f>
        <v>221248705.30224001</v>
      </c>
      <c r="I45" s="72">
        <f>+Summary!E99</f>
        <v>227886166.46130723</v>
      </c>
      <c r="J45" s="71">
        <f t="shared" si="11"/>
        <v>0</v>
      </c>
      <c r="K45" s="64">
        <f t="shared" si="12"/>
        <v>4345865.3022400141</v>
      </c>
      <c r="L45" s="72">
        <f t="shared" si="13"/>
        <v>10983326.461307228</v>
      </c>
      <c r="M45" s="79">
        <f>+Summary!D122</f>
        <v>3.8591014055521046E-2</v>
      </c>
      <c r="N45" s="67">
        <f>+Summary!E122</f>
        <v>9.7531257037858976E-2</v>
      </c>
      <c r="O45" s="80">
        <f>+Summary!F122</f>
        <v>5.894024298233793E-2</v>
      </c>
    </row>
    <row r="46" spans="1:16">
      <c r="F46" s="133" t="str">
        <f t="shared" si="10"/>
        <v>USM</v>
      </c>
      <c r="G46" s="71">
        <f>+Summary!C87</f>
        <v>181644658</v>
      </c>
      <c r="H46" s="64">
        <f>+Summary!D100</f>
        <v>185284090.36768803</v>
      </c>
      <c r="I46" s="72">
        <f>+Summary!E100</f>
        <v>190842613.07871866</v>
      </c>
      <c r="J46" s="71">
        <f t="shared" si="11"/>
        <v>0</v>
      </c>
      <c r="K46" s="64">
        <f t="shared" si="12"/>
        <v>3639432.36768803</v>
      </c>
      <c r="L46" s="72">
        <f t="shared" si="13"/>
        <v>9197955.0787186623</v>
      </c>
      <c r="M46" s="79">
        <f>+Summary!D123</f>
        <v>4.6073488138505717E-2</v>
      </c>
      <c r="N46" s="67">
        <f>+Summary!E123</f>
        <v>0.11644175008727049</v>
      </c>
      <c r="O46" s="80">
        <f>+Summary!F123</f>
        <v>7.0368261948764776E-2</v>
      </c>
    </row>
    <row r="48" spans="1:16">
      <c r="F48" s="38"/>
      <c r="G48" s="38"/>
      <c r="H48" s="38"/>
      <c r="I48" s="38"/>
      <c r="J48" s="38"/>
      <c r="K48" s="38"/>
      <c r="L48" s="38"/>
      <c r="M48" s="38"/>
    </row>
    <row r="49" spans="6:13">
      <c r="F49" s="38"/>
      <c r="G49" s="38"/>
      <c r="H49" s="38"/>
      <c r="I49" s="38"/>
      <c r="J49" s="38"/>
      <c r="K49" s="38"/>
      <c r="L49" s="38"/>
      <c r="M49" s="38"/>
    </row>
    <row r="50" spans="6:13">
      <c r="F50" s="38"/>
      <c r="G50" s="38"/>
      <c r="H50" s="38"/>
      <c r="I50" s="38"/>
      <c r="J50" s="38"/>
      <c r="K50" s="38"/>
      <c r="L50" s="38"/>
      <c r="M50" s="38"/>
    </row>
    <row r="51" spans="6:13">
      <c r="F51" s="38"/>
      <c r="G51" s="38"/>
      <c r="H51" s="38"/>
      <c r="I51" s="38"/>
      <c r="J51" s="38"/>
      <c r="K51" s="38"/>
      <c r="L51" s="38"/>
      <c r="M51" s="38"/>
    </row>
    <row r="52" spans="6:13">
      <c r="F52" s="38"/>
      <c r="G52" s="38"/>
      <c r="H52" s="38"/>
      <c r="I52" s="38"/>
      <c r="J52" s="38"/>
      <c r="K52" s="38"/>
      <c r="L52" s="38"/>
      <c r="M52" s="38"/>
    </row>
    <row r="53" spans="6:13">
      <c r="F53" s="38"/>
      <c r="G53" s="38"/>
      <c r="H53" s="38"/>
      <c r="I53" s="38"/>
      <c r="J53" s="38"/>
      <c r="K53" s="38"/>
      <c r="L53" s="38"/>
      <c r="M53" s="38"/>
    </row>
    <row r="54" spans="6:13">
      <c r="F54" s="38"/>
      <c r="G54" s="38"/>
      <c r="H54" s="38"/>
      <c r="I54" s="38"/>
      <c r="J54" s="38"/>
      <c r="K54" s="38"/>
      <c r="L54" s="38"/>
      <c r="M54" s="38"/>
    </row>
  </sheetData>
  <sheetProtection password="C622" sheet="1" objects="1" scenarios="1"/>
  <mergeCells count="21">
    <mergeCell ref="I1:P1"/>
    <mergeCell ref="I2:P2"/>
    <mergeCell ref="I3:P3"/>
    <mergeCell ref="A2:D2"/>
    <mergeCell ref="A3:D3"/>
    <mergeCell ref="K6:M6"/>
    <mergeCell ref="N6:P6"/>
    <mergeCell ref="H6:J6"/>
    <mergeCell ref="E6:G6"/>
    <mergeCell ref="B6:D6"/>
    <mergeCell ref="A4:D4"/>
    <mergeCell ref="A5:D5"/>
    <mergeCell ref="A36:D36"/>
    <mergeCell ref="B20:D20"/>
    <mergeCell ref="E20:G20"/>
    <mergeCell ref="F36:F37"/>
    <mergeCell ref="H20:J20"/>
    <mergeCell ref="K20:M20"/>
    <mergeCell ref="J36:L36"/>
    <mergeCell ref="G36:I36"/>
    <mergeCell ref="M36:O36"/>
  </mergeCells>
  <printOptions horizontalCentered="1"/>
  <pageMargins left="0.2" right="0.2" top="0.5" bottom="0.5" header="0.3" footer="0.3"/>
  <pageSetup scale="66" orientation="landscape" r:id="rId1"/>
  <headerFooter>
    <oddFooter>&amp;L&amp;8&amp;D  &amp;T  &amp;CAmended Appropriation Request for FY 2011&amp;R&amp;8&amp;A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53"/>
  <sheetViews>
    <sheetView topLeftCell="A28" workbookViewId="0">
      <selection activeCell="D38" sqref="D38:E38"/>
    </sheetView>
  </sheetViews>
  <sheetFormatPr defaultRowHeight="14.4"/>
  <cols>
    <col min="1" max="1" width="25.33203125" customWidth="1"/>
    <col min="2" max="2" width="14.44140625" style="3" customWidth="1"/>
    <col min="3" max="3" width="12.88671875" customWidth="1"/>
    <col min="4" max="6" width="12.6640625" customWidth="1"/>
  </cols>
  <sheetData>
    <row r="1" spans="1:5">
      <c r="A1" t="s">
        <v>23</v>
      </c>
    </row>
    <row r="2" spans="1:5" ht="30" customHeight="1">
      <c r="A2" s="14" t="s">
        <v>22</v>
      </c>
      <c r="B2" s="4" t="s">
        <v>4</v>
      </c>
      <c r="C2" s="5" t="s">
        <v>20</v>
      </c>
      <c r="D2" s="5" t="s">
        <v>21</v>
      </c>
      <c r="E2" s="5" t="s">
        <v>21</v>
      </c>
    </row>
    <row r="3" spans="1:5" ht="18.600000000000001" customHeight="1">
      <c r="B3" s="8" t="s">
        <v>0</v>
      </c>
      <c r="C3" s="9" t="s">
        <v>1</v>
      </c>
      <c r="D3" s="9" t="s">
        <v>2</v>
      </c>
      <c r="E3" s="9" t="s">
        <v>3</v>
      </c>
    </row>
    <row r="4" spans="1:5" ht="18.600000000000001" customHeight="1">
      <c r="A4" s="2" t="s">
        <v>5</v>
      </c>
    </row>
    <row r="5" spans="1:5" ht="18.600000000000001" customHeight="1">
      <c r="A5" s="7" t="s">
        <v>6</v>
      </c>
      <c r="B5" s="10">
        <v>13397757</v>
      </c>
      <c r="C5" s="10">
        <v>12586744</v>
      </c>
      <c r="D5" s="10">
        <v>12586744</v>
      </c>
      <c r="E5" s="10">
        <v>12586744</v>
      </c>
    </row>
    <row r="6" spans="1:5" ht="18.600000000000001" customHeight="1">
      <c r="A6" s="7" t="s">
        <v>7</v>
      </c>
      <c r="B6" s="6">
        <v>2075133</v>
      </c>
      <c r="C6" s="6">
        <v>1956265</v>
      </c>
      <c r="D6" s="6">
        <v>1956265</v>
      </c>
      <c r="E6" s="6">
        <v>1956265</v>
      </c>
    </row>
    <row r="7" spans="1:5" ht="18.600000000000001" customHeight="1">
      <c r="A7" s="7" t="s">
        <v>8</v>
      </c>
      <c r="B7" s="6">
        <v>326791</v>
      </c>
      <c r="C7" s="6">
        <v>0</v>
      </c>
      <c r="D7" s="6">
        <v>0</v>
      </c>
      <c r="E7" s="6">
        <v>0</v>
      </c>
    </row>
    <row r="8" spans="1:5" ht="18.600000000000001" customHeight="1">
      <c r="A8" s="7" t="s">
        <v>10</v>
      </c>
      <c r="B8" s="10">
        <f>SUM(B5:B7)</f>
        <v>15799681</v>
      </c>
      <c r="C8" s="10">
        <f>SUM(C5:C7)</f>
        <v>14543009</v>
      </c>
      <c r="D8" s="10">
        <f>SUM(D5:D7)</f>
        <v>14543009</v>
      </c>
      <c r="E8" s="10">
        <f>SUM(E5:E7)</f>
        <v>14543009</v>
      </c>
    </row>
    <row r="9" spans="1:5" ht="18.600000000000001" customHeight="1">
      <c r="A9" s="7"/>
      <c r="B9" s="6"/>
      <c r="C9" s="6"/>
      <c r="D9" s="6"/>
      <c r="E9" s="6"/>
    </row>
    <row r="10" spans="1:5" ht="18.600000000000001" customHeight="1">
      <c r="A10" s="7" t="s">
        <v>9</v>
      </c>
      <c r="B10" s="6">
        <v>0</v>
      </c>
      <c r="C10" s="6">
        <v>1284809</v>
      </c>
      <c r="D10" s="6">
        <f>+C10</f>
        <v>1284809</v>
      </c>
      <c r="E10" s="6">
        <f>+D10</f>
        <v>1284809</v>
      </c>
    </row>
    <row r="11" spans="1:5" ht="18.600000000000001" customHeight="1">
      <c r="A11" s="11" t="s">
        <v>19</v>
      </c>
      <c r="B11" s="10">
        <f>+B8+B10</f>
        <v>15799681</v>
      </c>
      <c r="C11" s="10">
        <f>+C8+C10</f>
        <v>15827818</v>
      </c>
      <c r="D11" s="10">
        <f>+D8+D10</f>
        <v>15827818</v>
      </c>
      <c r="E11" s="10">
        <f>+E8+E10</f>
        <v>15827818</v>
      </c>
    </row>
    <row r="12" spans="1:5" ht="18.600000000000001" customHeight="1">
      <c r="C12" s="3"/>
      <c r="D12" s="3"/>
      <c r="E12" s="3"/>
    </row>
    <row r="13" spans="1:5" ht="18.600000000000001" customHeight="1">
      <c r="A13" s="11" t="s">
        <v>11</v>
      </c>
      <c r="B13" s="6"/>
      <c r="C13" s="6"/>
      <c r="D13" s="6"/>
      <c r="E13" s="6"/>
    </row>
    <row r="14" spans="1:5" ht="18.600000000000001" customHeight="1">
      <c r="A14" s="7" t="s">
        <v>11</v>
      </c>
      <c r="B14" s="10">
        <v>15285182</v>
      </c>
      <c r="C14" s="10">
        <v>15687656</v>
      </c>
      <c r="D14" s="10">
        <f>+C14</f>
        <v>15687656</v>
      </c>
      <c r="E14" s="10">
        <f>+D14</f>
        <v>15687656</v>
      </c>
    </row>
    <row r="15" spans="1:5" ht="18.600000000000001" customHeight="1">
      <c r="A15" s="7" t="s">
        <v>18</v>
      </c>
      <c r="B15" s="10">
        <f>SUM(B14)</f>
        <v>15285182</v>
      </c>
      <c r="C15" s="10">
        <f>SUM(C14)</f>
        <v>15687656</v>
      </c>
      <c r="D15" s="10">
        <f>SUM(D14)</f>
        <v>15687656</v>
      </c>
      <c r="E15" s="10">
        <f>SUM(E14)</f>
        <v>15687656</v>
      </c>
    </row>
    <row r="16" spans="1:5" ht="18.600000000000001" customHeight="1">
      <c r="A16" s="11" t="s">
        <v>12</v>
      </c>
      <c r="B16" s="6"/>
      <c r="C16" s="6"/>
      <c r="D16" s="6"/>
      <c r="E16" s="6"/>
    </row>
    <row r="17" spans="1:5" ht="18.600000000000001" customHeight="1">
      <c r="A17" s="7" t="s">
        <v>14</v>
      </c>
      <c r="B17" s="10">
        <v>6000</v>
      </c>
      <c r="C17" s="10">
        <v>6000</v>
      </c>
      <c r="D17" s="10">
        <v>6000</v>
      </c>
      <c r="E17" s="10">
        <v>6000</v>
      </c>
    </row>
    <row r="18" spans="1:5" ht="18.600000000000001" customHeight="1">
      <c r="A18" s="7" t="s">
        <v>15</v>
      </c>
      <c r="B18" s="6">
        <v>403335</v>
      </c>
      <c r="C18" s="6">
        <v>403335</v>
      </c>
      <c r="D18" s="6">
        <v>403335</v>
      </c>
      <c r="E18" s="6">
        <v>403335</v>
      </c>
    </row>
    <row r="19" spans="1:5" ht="18.600000000000001" customHeight="1">
      <c r="A19" s="7" t="s">
        <v>12</v>
      </c>
      <c r="B19" s="6">
        <v>1788242</v>
      </c>
      <c r="C19" s="6">
        <v>1713242</v>
      </c>
      <c r="D19" s="6">
        <v>1713242</v>
      </c>
      <c r="E19" s="6">
        <v>1713242</v>
      </c>
    </row>
    <row r="20" spans="1:5" ht="18.600000000000001" customHeight="1">
      <c r="A20" s="7" t="s">
        <v>16</v>
      </c>
      <c r="B20" s="6">
        <v>0</v>
      </c>
      <c r="C20" s="6">
        <v>0</v>
      </c>
      <c r="D20" s="6">
        <v>0</v>
      </c>
      <c r="E20" s="6">
        <v>0</v>
      </c>
    </row>
    <row r="21" spans="1:5" ht="18.600000000000001" customHeight="1">
      <c r="A21" s="7" t="s">
        <v>17</v>
      </c>
      <c r="B21" s="10">
        <f>SUM(B17:B20)</f>
        <v>2197577</v>
      </c>
      <c r="C21" s="10">
        <f>SUM(C17:C20)</f>
        <v>2122577</v>
      </c>
      <c r="D21" s="10">
        <f>SUM(D17:D20)</f>
        <v>2122577</v>
      </c>
      <c r="E21" s="10">
        <f>SUM(E17:E20)</f>
        <v>2122577</v>
      </c>
    </row>
    <row r="22" spans="1:5" ht="18.600000000000001" customHeight="1">
      <c r="C22" s="3"/>
      <c r="D22" s="3"/>
      <c r="E22" s="3"/>
    </row>
    <row r="23" spans="1:5" s="1" customFormat="1" ht="18.600000000000001" customHeight="1">
      <c r="A23" s="12" t="s">
        <v>13</v>
      </c>
      <c r="B23" s="13">
        <f>+B11+B15+B21</f>
        <v>33282440</v>
      </c>
      <c r="C23" s="13">
        <f>+C11+C15+C21</f>
        <v>33638051</v>
      </c>
      <c r="D23" s="13">
        <f>+D11+D15+D21</f>
        <v>33638051</v>
      </c>
      <c r="E23" s="13">
        <f>+E11+E15+E21</f>
        <v>33638051</v>
      </c>
    </row>
    <row r="26" spans="1:5">
      <c r="A26" t="s">
        <v>27</v>
      </c>
      <c r="B26" s="15">
        <f>+B8</f>
        <v>15799681</v>
      </c>
      <c r="C26" s="15">
        <f>+C8</f>
        <v>14543009</v>
      </c>
      <c r="D26" s="15">
        <f>+D8</f>
        <v>14543009</v>
      </c>
      <c r="E26" s="15">
        <f>+E8</f>
        <v>14543009</v>
      </c>
    </row>
    <row r="27" spans="1:5">
      <c r="A27" s="16" t="s">
        <v>28</v>
      </c>
      <c r="B27" s="18">
        <v>0</v>
      </c>
      <c r="C27" s="18">
        <f>+Summary!C27</f>
        <v>0.05</v>
      </c>
      <c r="D27" s="18">
        <f>+Summary!D27</f>
        <v>0</v>
      </c>
      <c r="E27" s="18">
        <f>+Summary!E27</f>
        <v>0</v>
      </c>
    </row>
    <row r="28" spans="1:5">
      <c r="A28" s="16" t="s">
        <v>26</v>
      </c>
      <c r="B28" s="19">
        <f>+B26*B27</f>
        <v>0</v>
      </c>
      <c r="C28" s="19">
        <f>+C26*C27</f>
        <v>727150.45000000007</v>
      </c>
      <c r="D28" s="19">
        <f>+D26*D27</f>
        <v>0</v>
      </c>
      <c r="E28" s="19">
        <f>+E26*E27</f>
        <v>0</v>
      </c>
    </row>
    <row r="29" spans="1:5">
      <c r="A29" t="s">
        <v>29</v>
      </c>
      <c r="B29" s="20">
        <f>+B26-B28</f>
        <v>15799681</v>
      </c>
      <c r="C29" s="20">
        <f>+C26-C28</f>
        <v>13815858.550000001</v>
      </c>
      <c r="D29" s="20">
        <f>+D26-D28</f>
        <v>14543009</v>
      </c>
      <c r="E29" s="20">
        <f>+E26-E28</f>
        <v>14543009</v>
      </c>
    </row>
    <row r="30" spans="1:5">
      <c r="A30" t="s">
        <v>9</v>
      </c>
      <c r="B30" s="3">
        <f>+B10</f>
        <v>0</v>
      </c>
      <c r="C30" s="3">
        <f>+C10</f>
        <v>1284809</v>
      </c>
      <c r="D30" s="3">
        <f>+D10</f>
        <v>1284809</v>
      </c>
      <c r="E30" s="3">
        <f>+E10</f>
        <v>1284809</v>
      </c>
    </row>
    <row r="31" spans="1:5">
      <c r="A31" t="s">
        <v>56</v>
      </c>
      <c r="C31" s="3">
        <v>0</v>
      </c>
      <c r="D31" s="3">
        <f>+C30/2</f>
        <v>642404.5</v>
      </c>
      <c r="E31" s="3">
        <f>+C30</f>
        <v>1284809</v>
      </c>
    </row>
    <row r="32" spans="1:5">
      <c r="A32" t="s">
        <v>57</v>
      </c>
      <c r="B32" s="3">
        <v>0</v>
      </c>
      <c r="C32" s="3">
        <f>+C30-C31</f>
        <v>1284809</v>
      </c>
      <c r="D32" s="3">
        <f>+D30-D31</f>
        <v>642404.5</v>
      </c>
      <c r="E32" s="3">
        <f>+E30-E31</f>
        <v>0</v>
      </c>
    </row>
    <row r="33" spans="1:5">
      <c r="B33" s="15">
        <f>+B29+B30</f>
        <v>15799681</v>
      </c>
      <c r="C33" s="15">
        <f>+C29+C32</f>
        <v>15100667.550000001</v>
      </c>
      <c r="D33" s="15">
        <f>+D29+D32</f>
        <v>15185413.5</v>
      </c>
      <c r="E33" s="15">
        <f>+E29+E32</f>
        <v>14543009</v>
      </c>
    </row>
    <row r="35" spans="1:5">
      <c r="A35" t="s">
        <v>11</v>
      </c>
      <c r="B35" s="15">
        <f>+B15</f>
        <v>15285182</v>
      </c>
      <c r="C35" s="15">
        <f>+C15</f>
        <v>15687656</v>
      </c>
      <c r="D35" s="15">
        <f>+D15</f>
        <v>15687656</v>
      </c>
      <c r="E35" s="15">
        <f>+E15</f>
        <v>15687656</v>
      </c>
    </row>
    <row r="36" spans="1:5">
      <c r="A36" s="16" t="s">
        <v>30</v>
      </c>
      <c r="B36" s="21" t="s">
        <v>24</v>
      </c>
      <c r="C36" s="22">
        <f>IF(Summary!C36=Recap!B38,Summary!C36,Recap!B38)</f>
        <v>0</v>
      </c>
      <c r="D36" s="22">
        <f>IF(Summary!D36=Recap!C38,Summary!D36,Recap!C38)</f>
        <v>0</v>
      </c>
      <c r="E36" s="22">
        <f>IF(Summary!E36=Recap!D38,Summary!E36,Recap!D38)</f>
        <v>0</v>
      </c>
    </row>
    <row r="37" spans="1:5">
      <c r="A37" s="16" t="s">
        <v>36</v>
      </c>
      <c r="B37" s="17"/>
      <c r="C37" s="23">
        <f>+C36*C35</f>
        <v>0</v>
      </c>
      <c r="D37" s="23">
        <f>+D36*D35</f>
        <v>0</v>
      </c>
      <c r="E37" s="23">
        <f>+E36*E35+D37</f>
        <v>0</v>
      </c>
    </row>
    <row r="38" spans="1:5">
      <c r="A38" t="s">
        <v>31</v>
      </c>
      <c r="B38" s="3" t="s">
        <v>24</v>
      </c>
      <c r="C38" s="3">
        <f>+[3]Sheet1!$D$13</f>
        <v>147371</v>
      </c>
      <c r="D38" s="3">
        <f>+[3]Sheet1!$D$13</f>
        <v>147371</v>
      </c>
      <c r="E38" s="3">
        <f>+[3]Sheet1!$D$13</f>
        <v>147371</v>
      </c>
    </row>
    <row r="39" spans="1:5">
      <c r="A39" t="s">
        <v>32</v>
      </c>
      <c r="C39" s="30">
        <f>+C37/C38/100</f>
        <v>0</v>
      </c>
      <c r="D39" s="30">
        <f>+D37/D38/100</f>
        <v>0</v>
      </c>
      <c r="E39" s="30">
        <f>+E37/E38/100</f>
        <v>0</v>
      </c>
    </row>
    <row r="40" spans="1:5">
      <c r="A40" t="s">
        <v>33</v>
      </c>
      <c r="B40" s="15">
        <f>+B35+B39</f>
        <v>15285182</v>
      </c>
      <c r="C40" s="15">
        <f>+C35+C37</f>
        <v>15687656</v>
      </c>
      <c r="D40" s="15">
        <f>+D35+D37</f>
        <v>15687656</v>
      </c>
      <c r="E40" s="15">
        <f>+E35+E37</f>
        <v>15687656</v>
      </c>
    </row>
    <row r="42" spans="1:5">
      <c r="A42" t="s">
        <v>34</v>
      </c>
      <c r="B42" s="3">
        <f>+B21</f>
        <v>2197577</v>
      </c>
      <c r="C42" s="3">
        <f>+C21</f>
        <v>2122577</v>
      </c>
      <c r="D42" s="3">
        <f>+D21</f>
        <v>2122577</v>
      </c>
      <c r="E42" s="3">
        <f>+E21</f>
        <v>2122577</v>
      </c>
    </row>
    <row r="44" spans="1:5">
      <c r="A44" t="s">
        <v>35</v>
      </c>
      <c r="B44" s="15">
        <f>+B33+B40+B42</f>
        <v>33282440</v>
      </c>
      <c r="C44" s="15">
        <f>+C33+C40+C42</f>
        <v>32910900.550000001</v>
      </c>
      <c r="D44" s="15">
        <f>+D33+D40+D42</f>
        <v>32995646.5</v>
      </c>
      <c r="E44" s="15">
        <f>+E33+E40+E42</f>
        <v>32353242</v>
      </c>
    </row>
    <row r="45" spans="1:5">
      <c r="A45" t="s">
        <v>37</v>
      </c>
      <c r="B45" s="24">
        <f>+B44/B23-1</f>
        <v>0</v>
      </c>
      <c r="C45" s="24">
        <f>+C44/C23-1</f>
        <v>-2.1616901942386635E-2</v>
      </c>
      <c r="D45" s="24">
        <f>+D44/D23-1</f>
        <v>-1.9097554135939721E-2</v>
      </c>
      <c r="E45" s="24">
        <f>+E44/E23-1</f>
        <v>-3.819510827187933E-2</v>
      </c>
    </row>
    <row r="47" spans="1:5" ht="15" thickBot="1"/>
    <row r="48" spans="1:5">
      <c r="A48" s="31" t="s">
        <v>38</v>
      </c>
      <c r="B48" s="32">
        <f>+B23-B44</f>
        <v>0</v>
      </c>
      <c r="C48" s="32">
        <f>+C44-C23</f>
        <v>-727150.44999999925</v>
      </c>
      <c r="D48" s="32">
        <f>+D44-D23</f>
        <v>-642404.5</v>
      </c>
      <c r="E48" s="32">
        <f>+E44-E23</f>
        <v>-1284809</v>
      </c>
    </row>
    <row r="49" spans="1:5" ht="15" thickBot="1">
      <c r="A49" s="33" t="s">
        <v>39</v>
      </c>
      <c r="B49" s="34"/>
      <c r="C49" s="35">
        <f>+C48/B23</f>
        <v>-2.1847870829181971E-2</v>
      </c>
      <c r="D49" s="35">
        <f>+D48/C23</f>
        <v>-1.9097554135939682E-2</v>
      </c>
      <c r="E49" s="36">
        <f>+E48/D23</f>
        <v>-3.8195108271879365E-2</v>
      </c>
    </row>
    <row r="52" spans="1:5">
      <c r="A52" t="s">
        <v>50</v>
      </c>
      <c r="C52" s="20">
        <f>+C33-C11</f>
        <v>-727150.44999999925</v>
      </c>
      <c r="D52" s="20">
        <f>+D33-D11</f>
        <v>-642404.5</v>
      </c>
      <c r="E52" s="20">
        <f>+E33-E11</f>
        <v>-1284809</v>
      </c>
    </row>
    <row r="53" spans="1:5">
      <c r="A53" t="s">
        <v>51</v>
      </c>
      <c r="C53" s="20">
        <f>+C40-C15</f>
        <v>0</v>
      </c>
      <c r="D53" s="20">
        <f>+D40-D15</f>
        <v>0</v>
      </c>
      <c r="E53" s="20">
        <f>+E40-E15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3"/>
  <sheetViews>
    <sheetView topLeftCell="A25" workbookViewId="0">
      <selection activeCell="D38" sqref="D38:E38"/>
    </sheetView>
  </sheetViews>
  <sheetFormatPr defaultRowHeight="14.4"/>
  <cols>
    <col min="1" max="1" width="25.33203125" customWidth="1"/>
    <col min="2" max="2" width="14.44140625" style="3" customWidth="1"/>
    <col min="3" max="3" width="13.88671875" customWidth="1"/>
    <col min="4" max="4" width="14" customWidth="1"/>
    <col min="5" max="5" width="16" customWidth="1"/>
    <col min="6" max="6" width="12.6640625" customWidth="1"/>
  </cols>
  <sheetData>
    <row r="1" spans="1:5">
      <c r="A1" t="s">
        <v>23</v>
      </c>
    </row>
    <row r="2" spans="1:5" ht="30" customHeight="1">
      <c r="A2" s="14" t="s">
        <v>22</v>
      </c>
      <c r="B2" s="4" t="s">
        <v>4</v>
      </c>
      <c r="C2" s="5" t="s">
        <v>20</v>
      </c>
      <c r="D2" s="5" t="s">
        <v>21</v>
      </c>
      <c r="E2" s="5" t="s">
        <v>21</v>
      </c>
    </row>
    <row r="3" spans="1:5" ht="18.600000000000001" customHeight="1">
      <c r="B3" s="8" t="s">
        <v>0</v>
      </c>
      <c r="C3" s="9" t="s">
        <v>1</v>
      </c>
      <c r="D3" s="9" t="s">
        <v>2</v>
      </c>
      <c r="E3" s="9" t="s">
        <v>3</v>
      </c>
    </row>
    <row r="4" spans="1:5" ht="18.600000000000001" customHeight="1">
      <c r="A4" s="2" t="s">
        <v>5</v>
      </c>
    </row>
    <row r="5" spans="1:5" ht="18.600000000000001" customHeight="1">
      <c r="A5" s="7" t="s">
        <v>6</v>
      </c>
      <c r="B5" s="10">
        <v>71647851</v>
      </c>
      <c r="C5" s="10">
        <v>66205500</v>
      </c>
      <c r="D5" s="10">
        <v>66205500</v>
      </c>
      <c r="E5" s="10">
        <v>66205500</v>
      </c>
    </row>
    <row r="6" spans="1:5" ht="18.600000000000001" customHeight="1">
      <c r="A6" s="7" t="s">
        <v>7</v>
      </c>
      <c r="B6" s="6">
        <v>10780598</v>
      </c>
      <c r="C6" s="6">
        <v>10159426</v>
      </c>
      <c r="D6" s="6">
        <v>10159426</v>
      </c>
      <c r="E6" s="6">
        <v>10159426</v>
      </c>
    </row>
    <row r="7" spans="1:5" ht="18.600000000000001" customHeight="1">
      <c r="A7" s="7" t="s">
        <v>8</v>
      </c>
      <c r="B7" s="6">
        <v>1697725</v>
      </c>
      <c r="C7" s="6">
        <v>0</v>
      </c>
      <c r="D7" s="6">
        <v>0</v>
      </c>
      <c r="E7" s="6">
        <v>0</v>
      </c>
    </row>
    <row r="8" spans="1:5" ht="18.600000000000001" customHeight="1">
      <c r="A8" s="7" t="s">
        <v>10</v>
      </c>
      <c r="B8" s="10">
        <f>SUM(B5:B7)</f>
        <v>84126174</v>
      </c>
      <c r="C8" s="10">
        <f>SUM(C5:C7)</f>
        <v>76364926</v>
      </c>
      <c r="D8" s="10">
        <f>SUM(D5:D7)</f>
        <v>76364926</v>
      </c>
      <c r="E8" s="10">
        <f>SUM(E5:E7)</f>
        <v>76364926</v>
      </c>
    </row>
    <row r="9" spans="1:5" ht="18.600000000000001" customHeight="1">
      <c r="A9" s="7"/>
      <c r="B9" s="6"/>
      <c r="C9" s="6"/>
      <c r="D9" s="6"/>
      <c r="E9" s="6"/>
    </row>
    <row r="10" spans="1:5" ht="18.600000000000001" customHeight="1">
      <c r="A10" s="7" t="s">
        <v>9</v>
      </c>
      <c r="B10" s="6">
        <v>0</v>
      </c>
      <c r="C10" s="6">
        <v>6672370</v>
      </c>
      <c r="D10" s="6">
        <f>+C10</f>
        <v>6672370</v>
      </c>
      <c r="E10" s="6">
        <f>+D10</f>
        <v>6672370</v>
      </c>
    </row>
    <row r="11" spans="1:5" ht="18.600000000000001" customHeight="1">
      <c r="A11" s="11" t="s">
        <v>19</v>
      </c>
      <c r="B11" s="10">
        <f>+B8+B10</f>
        <v>84126174</v>
      </c>
      <c r="C11" s="10">
        <f>+C8+C10</f>
        <v>83037296</v>
      </c>
      <c r="D11" s="10">
        <f>+D8+D10</f>
        <v>83037296</v>
      </c>
      <c r="E11" s="10">
        <f>+E8+E10</f>
        <v>83037296</v>
      </c>
    </row>
    <row r="12" spans="1:5" ht="18.600000000000001" customHeight="1">
      <c r="C12" s="3"/>
      <c r="D12" s="3"/>
      <c r="E12" s="3"/>
    </row>
    <row r="13" spans="1:5" ht="18.600000000000001" customHeight="1">
      <c r="A13" s="11" t="s">
        <v>11</v>
      </c>
      <c r="B13" s="6"/>
      <c r="C13" s="6"/>
      <c r="D13" s="6"/>
      <c r="E13" s="6"/>
    </row>
    <row r="14" spans="1:5" ht="18.600000000000001" customHeight="1">
      <c r="A14" s="7" t="s">
        <v>11</v>
      </c>
      <c r="B14" s="10">
        <v>113816274</v>
      </c>
      <c r="C14" s="10">
        <v>120601476</v>
      </c>
      <c r="D14" s="10">
        <f>+C14</f>
        <v>120601476</v>
      </c>
      <c r="E14" s="10">
        <f>+D14</f>
        <v>120601476</v>
      </c>
    </row>
    <row r="15" spans="1:5" ht="18.600000000000001" customHeight="1">
      <c r="A15" s="7" t="s">
        <v>18</v>
      </c>
      <c r="B15" s="10">
        <f>SUM(B14)</f>
        <v>113816274</v>
      </c>
      <c r="C15" s="10">
        <f>SUM(C14)</f>
        <v>120601476</v>
      </c>
      <c r="D15" s="10">
        <f>SUM(D14)</f>
        <v>120601476</v>
      </c>
      <c r="E15" s="10">
        <f>SUM(E14)</f>
        <v>120601476</v>
      </c>
    </row>
    <row r="16" spans="1:5" ht="18.600000000000001" customHeight="1">
      <c r="A16" s="11" t="s">
        <v>12</v>
      </c>
      <c r="B16" s="6"/>
      <c r="C16" s="6"/>
      <c r="D16" s="6"/>
      <c r="E16" s="6"/>
    </row>
    <row r="17" spans="1:5" ht="18.600000000000001" customHeight="1">
      <c r="A17" s="7" t="s">
        <v>14</v>
      </c>
      <c r="B17" s="10">
        <v>4150000</v>
      </c>
      <c r="C17" s="10">
        <v>4170000</v>
      </c>
      <c r="D17" s="10">
        <v>4170000</v>
      </c>
      <c r="E17" s="10">
        <v>4170000</v>
      </c>
    </row>
    <row r="18" spans="1:5" ht="18.600000000000001" customHeight="1">
      <c r="A18" s="7" t="s">
        <v>15</v>
      </c>
      <c r="B18" s="6">
        <v>1600898</v>
      </c>
      <c r="C18" s="6">
        <v>1600898</v>
      </c>
      <c r="D18" s="6">
        <v>1600898</v>
      </c>
      <c r="E18" s="6">
        <v>1600898</v>
      </c>
    </row>
    <row r="19" spans="1:5" ht="18.600000000000001" customHeight="1">
      <c r="A19" s="7" t="s">
        <v>12</v>
      </c>
      <c r="B19" s="6">
        <v>4971166</v>
      </c>
      <c r="C19" s="6">
        <v>4993170</v>
      </c>
      <c r="D19" s="6">
        <v>4993170</v>
      </c>
      <c r="E19" s="6">
        <v>4993170</v>
      </c>
    </row>
    <row r="20" spans="1:5" ht="18.600000000000001" customHeight="1">
      <c r="A20" s="7" t="s">
        <v>16</v>
      </c>
      <c r="B20" s="6">
        <v>2500000</v>
      </c>
      <c r="C20" s="6">
        <v>2500000</v>
      </c>
      <c r="D20" s="6">
        <v>2500000</v>
      </c>
      <c r="E20" s="6">
        <v>2500000</v>
      </c>
    </row>
    <row r="21" spans="1:5" ht="18.600000000000001" customHeight="1">
      <c r="A21" s="7" t="s">
        <v>17</v>
      </c>
      <c r="B21" s="10">
        <f>SUM(B17:B20)</f>
        <v>13222064</v>
      </c>
      <c r="C21" s="10">
        <f>SUM(C17:C20)</f>
        <v>13264068</v>
      </c>
      <c r="D21" s="10">
        <f>SUM(D17:D20)</f>
        <v>13264068</v>
      </c>
      <c r="E21" s="10">
        <f>SUM(E17:E20)</f>
        <v>13264068</v>
      </c>
    </row>
    <row r="22" spans="1:5" ht="18.600000000000001" customHeight="1">
      <c r="C22" s="3"/>
      <c r="D22" s="3"/>
      <c r="E22" s="3"/>
    </row>
    <row r="23" spans="1:5" s="1" customFormat="1" ht="18.600000000000001" customHeight="1">
      <c r="A23" s="12" t="s">
        <v>13</v>
      </c>
      <c r="B23" s="13">
        <f>+B11+B15+B21</f>
        <v>211164512</v>
      </c>
      <c r="C23" s="13">
        <f>+C11+C15+C21</f>
        <v>216902840</v>
      </c>
      <c r="D23" s="13">
        <f>+D11+D15+D21</f>
        <v>216902840</v>
      </c>
      <c r="E23" s="13">
        <f>+E11+E15+E21</f>
        <v>216902840</v>
      </c>
    </row>
    <row r="26" spans="1:5">
      <c r="A26" t="s">
        <v>27</v>
      </c>
      <c r="B26" s="15">
        <f>+B8</f>
        <v>84126174</v>
      </c>
      <c r="C26" s="15">
        <f>+C8</f>
        <v>76364926</v>
      </c>
      <c r="D26" s="15">
        <f>+D8</f>
        <v>76364926</v>
      </c>
      <c r="E26" s="15">
        <f>+E8</f>
        <v>76364926</v>
      </c>
    </row>
    <row r="27" spans="1:5">
      <c r="A27" s="16" t="s">
        <v>28</v>
      </c>
      <c r="B27" s="18">
        <v>0</v>
      </c>
      <c r="C27" s="18">
        <f>+Summary!C27</f>
        <v>0.05</v>
      </c>
      <c r="D27" s="18">
        <f>+Summary!D27</f>
        <v>0</v>
      </c>
      <c r="E27" s="18">
        <f>+Summary!E27</f>
        <v>0</v>
      </c>
    </row>
    <row r="28" spans="1:5">
      <c r="A28" s="16" t="s">
        <v>26</v>
      </c>
      <c r="B28" s="19">
        <f>+B26*B27</f>
        <v>0</v>
      </c>
      <c r="C28" s="19">
        <f>+C26*C27</f>
        <v>3818246.3000000003</v>
      </c>
      <c r="D28" s="19">
        <f>+D26*D27</f>
        <v>0</v>
      </c>
      <c r="E28" s="19">
        <f>+E26*E27</f>
        <v>0</v>
      </c>
    </row>
    <row r="29" spans="1:5">
      <c r="A29" t="s">
        <v>29</v>
      </c>
      <c r="B29" s="20">
        <f>+B26-B28</f>
        <v>84126174</v>
      </c>
      <c r="C29" s="20">
        <f>+C26-C28</f>
        <v>72546679.700000003</v>
      </c>
      <c r="D29" s="20">
        <f>+D26-D28</f>
        <v>76364926</v>
      </c>
      <c r="E29" s="20">
        <f>+E26-E28</f>
        <v>76364926</v>
      </c>
    </row>
    <row r="30" spans="1:5">
      <c r="A30" t="s">
        <v>9</v>
      </c>
      <c r="B30" s="3">
        <f>+B10</f>
        <v>0</v>
      </c>
      <c r="C30" s="3">
        <f>+C10</f>
        <v>6672370</v>
      </c>
      <c r="D30" s="3">
        <f>+D10</f>
        <v>6672370</v>
      </c>
      <c r="E30" s="3">
        <f>+E10</f>
        <v>6672370</v>
      </c>
    </row>
    <row r="31" spans="1:5">
      <c r="A31" t="s">
        <v>56</v>
      </c>
      <c r="C31" s="3">
        <v>0</v>
      </c>
      <c r="D31" s="3">
        <f>+C30/2</f>
        <v>3336185</v>
      </c>
      <c r="E31" s="3">
        <f>+C30</f>
        <v>6672370</v>
      </c>
    </row>
    <row r="32" spans="1:5">
      <c r="A32" t="s">
        <v>57</v>
      </c>
      <c r="B32" s="3">
        <v>0</v>
      </c>
      <c r="C32" s="3">
        <f>+C30-C31</f>
        <v>6672370</v>
      </c>
      <c r="D32" s="3">
        <f>+D30-D31</f>
        <v>3336185</v>
      </c>
      <c r="E32" s="3">
        <f>+E30-E31</f>
        <v>0</v>
      </c>
    </row>
    <row r="33" spans="1:5">
      <c r="B33" s="15">
        <f>+B29+B30</f>
        <v>84126174</v>
      </c>
      <c r="C33" s="15">
        <f>+C29+C32</f>
        <v>79219049.700000003</v>
      </c>
      <c r="D33" s="15">
        <f>+D29+D32</f>
        <v>79701111</v>
      </c>
      <c r="E33" s="15">
        <f>+E29+E32</f>
        <v>76364926</v>
      </c>
    </row>
    <row r="35" spans="1:5">
      <c r="A35" t="s">
        <v>11</v>
      </c>
      <c r="B35" s="15">
        <f>+B15</f>
        <v>113816274</v>
      </c>
      <c r="C35" s="15">
        <f>+C15</f>
        <v>120601476</v>
      </c>
      <c r="D35" s="15">
        <f>+D15</f>
        <v>120601476</v>
      </c>
      <c r="E35" s="15">
        <f>+E15</f>
        <v>120601476</v>
      </c>
    </row>
    <row r="36" spans="1:5">
      <c r="A36" s="16" t="s">
        <v>30</v>
      </c>
      <c r="B36" s="21" t="s">
        <v>24</v>
      </c>
      <c r="C36" s="22">
        <f>IF(Summary!C36=Recap!B38,Summary!C36,Recap!B38)</f>
        <v>0</v>
      </c>
      <c r="D36" s="22">
        <f>IF(Summary!D36=Recap!C38,Summary!D36,Recap!C38)</f>
        <v>0</v>
      </c>
      <c r="E36" s="22">
        <f>IF(Summary!E36=Recap!D38,Summary!E36,Recap!D38)</f>
        <v>0</v>
      </c>
    </row>
    <row r="37" spans="1:5">
      <c r="A37" s="16" t="s">
        <v>36</v>
      </c>
      <c r="B37" s="17"/>
      <c r="C37" s="23">
        <f>+C36*C35</f>
        <v>0</v>
      </c>
      <c r="D37" s="23">
        <f>+D36*D35</f>
        <v>0</v>
      </c>
      <c r="E37" s="23">
        <f>+E36*E35+D37</f>
        <v>0</v>
      </c>
    </row>
    <row r="38" spans="1:5">
      <c r="A38" t="s">
        <v>31</v>
      </c>
      <c r="B38" s="3" t="s">
        <v>24</v>
      </c>
      <c r="C38" s="3">
        <f>+[3]Sheet1!$D$14</f>
        <v>1126134</v>
      </c>
      <c r="D38" s="3">
        <f>+[3]Sheet1!$D$14</f>
        <v>1126134</v>
      </c>
      <c r="E38" s="3">
        <f>+[3]Sheet1!$D$14</f>
        <v>1126134</v>
      </c>
    </row>
    <row r="39" spans="1:5">
      <c r="A39" t="s">
        <v>32</v>
      </c>
      <c r="C39" s="30">
        <f>+C37/C38/100</f>
        <v>0</v>
      </c>
      <c r="D39" s="30">
        <f>+D37/D38/100</f>
        <v>0</v>
      </c>
      <c r="E39" s="30">
        <f>+E37/E38/100</f>
        <v>0</v>
      </c>
    </row>
    <row r="40" spans="1:5">
      <c r="A40" t="s">
        <v>33</v>
      </c>
      <c r="B40" s="15">
        <f>+B35+B39</f>
        <v>113816274</v>
      </c>
      <c r="C40" s="15">
        <f>+C35+C37</f>
        <v>120601476</v>
      </c>
      <c r="D40" s="15">
        <f>+D35+D37</f>
        <v>120601476</v>
      </c>
      <c r="E40" s="15">
        <f>+E35+E37</f>
        <v>120601476</v>
      </c>
    </row>
    <row r="42" spans="1:5">
      <c r="A42" t="s">
        <v>34</v>
      </c>
      <c r="B42" s="3">
        <f>+B21</f>
        <v>13222064</v>
      </c>
      <c r="C42" s="3">
        <f>+C21</f>
        <v>13264068</v>
      </c>
      <c r="D42" s="3">
        <f>+D21</f>
        <v>13264068</v>
      </c>
      <c r="E42" s="3">
        <f>+E21</f>
        <v>13264068</v>
      </c>
    </row>
    <row r="44" spans="1:5">
      <c r="A44" t="s">
        <v>35</v>
      </c>
      <c r="B44" s="15">
        <f>+B33+B40+B42</f>
        <v>211164512</v>
      </c>
      <c r="C44" s="15">
        <f>+C33+C40+C42</f>
        <v>213084593.69999999</v>
      </c>
      <c r="D44" s="15">
        <f>+D33+D40+D42</f>
        <v>213566655</v>
      </c>
      <c r="E44" s="15">
        <f>+E33+E40+E42</f>
        <v>210230470</v>
      </c>
    </row>
    <row r="45" spans="1:5">
      <c r="A45" t="s">
        <v>37</v>
      </c>
      <c r="B45" s="24">
        <f>+B44/B23-1</f>
        <v>0</v>
      </c>
      <c r="C45" s="24">
        <f>+C44/C23-1</f>
        <v>-1.7603486888415176E-2</v>
      </c>
      <c r="D45" s="24">
        <f>+D44/D23-1</f>
        <v>-1.5381011147664103E-2</v>
      </c>
      <c r="E45" s="24">
        <f>+E44/E23-1</f>
        <v>-3.0762022295328206E-2</v>
      </c>
    </row>
    <row r="47" spans="1:5" ht="15" thickBot="1"/>
    <row r="48" spans="1:5">
      <c r="A48" s="31" t="s">
        <v>38</v>
      </c>
      <c r="B48" s="32">
        <f>+B23-B44</f>
        <v>0</v>
      </c>
      <c r="C48" s="32">
        <f>+C44-C23</f>
        <v>-3818246.3000000119</v>
      </c>
      <c r="D48" s="32">
        <f>+D44-D23</f>
        <v>-3336185</v>
      </c>
      <c r="E48" s="32">
        <f>+E44-E23</f>
        <v>-6672370</v>
      </c>
    </row>
    <row r="49" spans="1:5" ht="15" thickBot="1">
      <c r="A49" s="33" t="s">
        <v>39</v>
      </c>
      <c r="B49" s="34"/>
      <c r="C49" s="35">
        <f>+C48/B23</f>
        <v>-1.8081856008077778E-2</v>
      </c>
      <c r="D49" s="35">
        <f>+D48/C23</f>
        <v>-1.5381011147664088E-2</v>
      </c>
      <c r="E49" s="36">
        <f>+E48/D23</f>
        <v>-3.0762022295328175E-2</v>
      </c>
    </row>
    <row r="52" spans="1:5">
      <c r="A52" t="s">
        <v>50</v>
      </c>
      <c r="C52" s="20">
        <f>+C33-C11</f>
        <v>-3818246.299999997</v>
      </c>
      <c r="D52" s="20">
        <f>+D33-D11</f>
        <v>-3336185</v>
      </c>
      <c r="E52" s="20">
        <f>+E33-E11</f>
        <v>-6672370</v>
      </c>
    </row>
    <row r="53" spans="1:5">
      <c r="A53" t="s">
        <v>51</v>
      </c>
      <c r="C53" s="20">
        <f>+C40-C15</f>
        <v>0</v>
      </c>
      <c r="D53" s="20">
        <f>+D40-D15</f>
        <v>0</v>
      </c>
      <c r="E53" s="20">
        <f>+E40-E15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3"/>
  <sheetViews>
    <sheetView topLeftCell="A25" workbookViewId="0">
      <selection activeCell="D38" sqref="D38:E38"/>
    </sheetView>
  </sheetViews>
  <sheetFormatPr defaultRowHeight="14.4"/>
  <cols>
    <col min="1" max="1" width="25.33203125" customWidth="1"/>
    <col min="2" max="2" width="14.44140625" style="3" customWidth="1"/>
    <col min="3" max="3" width="14.33203125" customWidth="1"/>
    <col min="4" max="4" width="13.33203125" customWidth="1"/>
    <col min="5" max="5" width="15.6640625" customWidth="1"/>
    <col min="6" max="6" width="12.6640625" customWidth="1"/>
  </cols>
  <sheetData>
    <row r="1" spans="1:5">
      <c r="A1" t="s">
        <v>23</v>
      </c>
    </row>
    <row r="2" spans="1:5" ht="30" customHeight="1">
      <c r="A2" s="14" t="s">
        <v>22</v>
      </c>
      <c r="B2" s="4" t="s">
        <v>4</v>
      </c>
      <c r="C2" s="5" t="s">
        <v>20</v>
      </c>
      <c r="D2" s="5" t="s">
        <v>21</v>
      </c>
      <c r="E2" s="5" t="s">
        <v>21</v>
      </c>
    </row>
    <row r="3" spans="1:5" ht="18.600000000000001" customHeight="1">
      <c r="B3" s="8" t="s">
        <v>0</v>
      </c>
      <c r="C3" s="9" t="s">
        <v>1</v>
      </c>
      <c r="D3" s="9" t="s">
        <v>2</v>
      </c>
      <c r="E3" s="9" t="s">
        <v>3</v>
      </c>
    </row>
    <row r="4" spans="1:5" ht="18.600000000000001" customHeight="1">
      <c r="A4" s="2" t="s">
        <v>5</v>
      </c>
    </row>
    <row r="5" spans="1:5" ht="18.600000000000001" customHeight="1">
      <c r="A5" s="7" t="s">
        <v>6</v>
      </c>
      <c r="B5" s="10">
        <v>77063248</v>
      </c>
      <c r="C5" s="10">
        <v>72191886</v>
      </c>
      <c r="D5" s="10">
        <v>72191886</v>
      </c>
      <c r="E5" s="10">
        <v>72191886</v>
      </c>
    </row>
    <row r="6" spans="1:5" ht="18.600000000000001" customHeight="1">
      <c r="A6" s="7" t="s">
        <v>7</v>
      </c>
      <c r="B6" s="6">
        <v>11810256</v>
      </c>
      <c r="C6" s="6">
        <v>11140207</v>
      </c>
      <c r="D6" s="6">
        <v>11140207</v>
      </c>
      <c r="E6" s="6">
        <v>11140207</v>
      </c>
    </row>
    <row r="7" spans="1:5" ht="18.600000000000001" customHeight="1">
      <c r="A7" s="7" t="s">
        <v>8</v>
      </c>
      <c r="B7" s="6">
        <v>1859875</v>
      </c>
      <c r="C7" s="6">
        <v>0</v>
      </c>
      <c r="D7" s="6">
        <v>0</v>
      </c>
      <c r="E7" s="6">
        <v>0</v>
      </c>
    </row>
    <row r="8" spans="1:5" ht="18.600000000000001" customHeight="1">
      <c r="A8" s="7" t="s">
        <v>10</v>
      </c>
      <c r="B8" s="10">
        <f>SUM(B5:B7)</f>
        <v>90733379</v>
      </c>
      <c r="C8" s="10">
        <f>SUM(C5:C7)</f>
        <v>83332093</v>
      </c>
      <c r="D8" s="10">
        <f>SUM(D5:D7)</f>
        <v>83332093</v>
      </c>
      <c r="E8" s="10">
        <f>SUM(E5:E7)</f>
        <v>83332093</v>
      </c>
    </row>
    <row r="9" spans="1:5" ht="18.600000000000001" customHeight="1">
      <c r="A9" s="7"/>
      <c r="B9" s="6"/>
      <c r="C9" s="6"/>
      <c r="D9" s="6"/>
      <c r="E9" s="6"/>
    </row>
    <row r="10" spans="1:5" ht="18.600000000000001" customHeight="1">
      <c r="A10" s="7" t="s">
        <v>9</v>
      </c>
      <c r="B10" s="6">
        <v>0</v>
      </c>
      <c r="C10" s="6">
        <v>7316514</v>
      </c>
      <c r="D10" s="6">
        <f>+C10</f>
        <v>7316514</v>
      </c>
      <c r="E10" s="6">
        <f>+D10</f>
        <v>7316514</v>
      </c>
    </row>
    <row r="11" spans="1:5" ht="18.600000000000001" customHeight="1">
      <c r="A11" s="11" t="s">
        <v>19</v>
      </c>
      <c r="B11" s="10">
        <f>+B8+B10</f>
        <v>90733379</v>
      </c>
      <c r="C11" s="10">
        <f>+C8+C10</f>
        <v>90648607</v>
      </c>
      <c r="D11" s="10">
        <f>+D8+D10</f>
        <v>90648607</v>
      </c>
      <c r="E11" s="10">
        <f>+E8+E10</f>
        <v>90648607</v>
      </c>
    </row>
    <row r="12" spans="1:5" ht="18.600000000000001" customHeight="1">
      <c r="C12" s="3"/>
      <c r="D12" s="3"/>
      <c r="E12" s="3"/>
    </row>
    <row r="13" spans="1:5" ht="18.600000000000001" customHeight="1">
      <c r="A13" s="11" t="s">
        <v>11</v>
      </c>
      <c r="B13" s="6"/>
      <c r="C13" s="6"/>
      <c r="D13" s="6"/>
      <c r="E13" s="6"/>
    </row>
    <row r="14" spans="1:5" ht="18.600000000000001" customHeight="1">
      <c r="A14" s="7" t="s">
        <v>11</v>
      </c>
      <c r="B14" s="10">
        <v>84898191</v>
      </c>
      <c r="C14" s="10">
        <v>85707374</v>
      </c>
      <c r="D14" s="10">
        <f>+C14</f>
        <v>85707374</v>
      </c>
      <c r="E14" s="10">
        <f>+D14</f>
        <v>85707374</v>
      </c>
    </row>
    <row r="15" spans="1:5" ht="18.600000000000001" customHeight="1">
      <c r="A15" s="7" t="s">
        <v>18</v>
      </c>
      <c r="B15" s="10">
        <f>SUM(B14)</f>
        <v>84898191</v>
      </c>
      <c r="C15" s="10">
        <f>SUM(C14)</f>
        <v>85707374</v>
      </c>
      <c r="D15" s="10">
        <f>SUM(D14)</f>
        <v>85707374</v>
      </c>
      <c r="E15" s="10">
        <f>SUM(E14)</f>
        <v>85707374</v>
      </c>
    </row>
    <row r="16" spans="1:5" ht="18.600000000000001" customHeight="1">
      <c r="A16" s="11" t="s">
        <v>12</v>
      </c>
      <c r="B16" s="6"/>
      <c r="C16" s="6"/>
      <c r="D16" s="6"/>
      <c r="E16" s="6"/>
    </row>
    <row r="17" spans="1:5" ht="18.600000000000001" customHeight="1">
      <c r="A17" s="7" t="s">
        <v>14</v>
      </c>
      <c r="B17" s="10">
        <v>0</v>
      </c>
      <c r="C17" s="10">
        <v>0</v>
      </c>
      <c r="D17" s="10">
        <v>0</v>
      </c>
      <c r="E17" s="10">
        <v>0</v>
      </c>
    </row>
    <row r="18" spans="1:5" ht="18.600000000000001" customHeight="1">
      <c r="A18" s="7" t="s">
        <v>15</v>
      </c>
      <c r="B18" s="6">
        <v>693820</v>
      </c>
      <c r="C18" s="6">
        <v>751227</v>
      </c>
      <c r="D18" s="6">
        <v>751227</v>
      </c>
      <c r="E18" s="6">
        <v>751227</v>
      </c>
    </row>
    <row r="19" spans="1:5" ht="18.600000000000001" customHeight="1">
      <c r="A19" s="7" t="s">
        <v>12</v>
      </c>
      <c r="B19" s="6">
        <v>5412450</v>
      </c>
      <c r="C19" s="6">
        <v>4537450</v>
      </c>
      <c r="D19" s="6">
        <v>4537450</v>
      </c>
      <c r="E19" s="6">
        <v>4537450</v>
      </c>
    </row>
    <row r="20" spans="1:5" ht="18.600000000000001" customHeight="1">
      <c r="A20" s="7" t="s">
        <v>16</v>
      </c>
      <c r="B20" s="6">
        <v>0</v>
      </c>
      <c r="C20" s="6">
        <v>0</v>
      </c>
      <c r="D20" s="6">
        <v>0</v>
      </c>
      <c r="E20" s="6">
        <v>0</v>
      </c>
    </row>
    <row r="21" spans="1:5" ht="18.600000000000001" customHeight="1">
      <c r="A21" s="7" t="s">
        <v>17</v>
      </c>
      <c r="B21" s="10">
        <f>SUM(B17:B20)</f>
        <v>6106270</v>
      </c>
      <c r="C21" s="10">
        <f>SUM(C17:C20)</f>
        <v>5288677</v>
      </c>
      <c r="D21" s="10">
        <f>SUM(D17:D20)</f>
        <v>5288677</v>
      </c>
      <c r="E21" s="10">
        <f>SUM(E17:E20)</f>
        <v>5288677</v>
      </c>
    </row>
    <row r="22" spans="1:5" ht="18.600000000000001" customHeight="1">
      <c r="C22" s="3"/>
      <c r="D22" s="3"/>
      <c r="E22" s="3"/>
    </row>
    <row r="23" spans="1:5" s="1" customFormat="1" ht="18.600000000000001" customHeight="1">
      <c r="A23" s="12" t="s">
        <v>13</v>
      </c>
      <c r="B23" s="13">
        <f>+B11+B15+B21</f>
        <v>181737840</v>
      </c>
      <c r="C23" s="13">
        <f>+C11+C15+C21</f>
        <v>181644658</v>
      </c>
      <c r="D23" s="13">
        <f>+D11+D15+D21</f>
        <v>181644658</v>
      </c>
      <c r="E23" s="13">
        <f>+E11+E15+E21</f>
        <v>181644658</v>
      </c>
    </row>
    <row r="26" spans="1:5">
      <c r="A26" t="s">
        <v>27</v>
      </c>
      <c r="B26" s="15">
        <f>+B8</f>
        <v>90733379</v>
      </c>
      <c r="C26" s="15">
        <f>+C8</f>
        <v>83332093</v>
      </c>
      <c r="D26" s="15">
        <f>+D8</f>
        <v>83332093</v>
      </c>
      <c r="E26" s="15">
        <f>+E8</f>
        <v>83332093</v>
      </c>
    </row>
    <row r="27" spans="1:5">
      <c r="A27" s="16" t="s">
        <v>28</v>
      </c>
      <c r="B27" s="18">
        <v>0</v>
      </c>
      <c r="C27" s="18">
        <f>+Summary!C27</f>
        <v>0.05</v>
      </c>
      <c r="D27" s="18">
        <f>+Summary!D27</f>
        <v>0</v>
      </c>
      <c r="E27" s="18">
        <f>+Summary!E27</f>
        <v>0</v>
      </c>
    </row>
    <row r="28" spans="1:5">
      <c r="A28" s="16" t="s">
        <v>26</v>
      </c>
      <c r="B28" s="19">
        <f>+B26*B27</f>
        <v>0</v>
      </c>
      <c r="C28" s="19">
        <f>+C26*C27</f>
        <v>4166604.6500000004</v>
      </c>
      <c r="D28" s="19">
        <f>+D26*D27</f>
        <v>0</v>
      </c>
      <c r="E28" s="19">
        <f>+E26*E27</f>
        <v>0</v>
      </c>
    </row>
    <row r="29" spans="1:5">
      <c r="A29" t="s">
        <v>29</v>
      </c>
      <c r="B29" s="20">
        <f>+B26-B28</f>
        <v>90733379</v>
      </c>
      <c r="C29" s="20">
        <f>+C26-C28</f>
        <v>79165488.349999994</v>
      </c>
      <c r="D29" s="20">
        <f>+D26-D28</f>
        <v>83332093</v>
      </c>
      <c r="E29" s="20">
        <f>+E26-E28</f>
        <v>83332093</v>
      </c>
    </row>
    <row r="30" spans="1:5">
      <c r="A30" t="s">
        <v>9</v>
      </c>
      <c r="B30" s="3">
        <f>+B10</f>
        <v>0</v>
      </c>
      <c r="C30" s="3">
        <f>+C10</f>
        <v>7316514</v>
      </c>
      <c r="D30" s="3">
        <f>+D10</f>
        <v>7316514</v>
      </c>
      <c r="E30" s="3">
        <f>+E10</f>
        <v>7316514</v>
      </c>
    </row>
    <row r="31" spans="1:5">
      <c r="A31" t="s">
        <v>56</v>
      </c>
      <c r="C31" s="3">
        <v>0</v>
      </c>
      <c r="D31" s="3">
        <f>+C30/2</f>
        <v>3658257</v>
      </c>
      <c r="E31" s="3">
        <f>+C30</f>
        <v>7316514</v>
      </c>
    </row>
    <row r="32" spans="1:5">
      <c r="A32" t="s">
        <v>57</v>
      </c>
      <c r="B32" s="3">
        <v>0</v>
      </c>
      <c r="C32" s="3">
        <f>+C30-C31</f>
        <v>7316514</v>
      </c>
      <c r="D32" s="3">
        <f>+D30-D31</f>
        <v>3658257</v>
      </c>
      <c r="E32" s="3">
        <f>+E30-E31</f>
        <v>0</v>
      </c>
    </row>
    <row r="33" spans="1:5">
      <c r="B33" s="15">
        <f>+B29+B30</f>
        <v>90733379</v>
      </c>
      <c r="C33" s="15">
        <f>+C29+C32</f>
        <v>86482002.349999994</v>
      </c>
      <c r="D33" s="15">
        <f>+D29+D32</f>
        <v>86990350</v>
      </c>
      <c r="E33" s="15">
        <f>+E29+E32</f>
        <v>83332093</v>
      </c>
    </row>
    <row r="35" spans="1:5">
      <c r="A35" t="s">
        <v>11</v>
      </c>
      <c r="B35" s="15">
        <f>+B15</f>
        <v>84898191</v>
      </c>
      <c r="C35" s="15">
        <f>+C15</f>
        <v>85707374</v>
      </c>
      <c r="D35" s="15">
        <f>+D15</f>
        <v>85707374</v>
      </c>
      <c r="E35" s="15">
        <f>+E15</f>
        <v>85707374</v>
      </c>
    </row>
    <row r="36" spans="1:5">
      <c r="A36" s="16" t="s">
        <v>30</v>
      </c>
      <c r="B36" s="21" t="s">
        <v>24</v>
      </c>
      <c r="C36" s="22">
        <f>IF(Summary!C36=Recap!B38,Summary!C36,Recap!B38)</f>
        <v>0</v>
      </c>
      <c r="D36" s="22">
        <f>IF(Summary!D36=Recap!C38,Summary!D36,Recap!C38)</f>
        <v>0</v>
      </c>
      <c r="E36" s="22">
        <f>IF(Summary!E36=Recap!D38,Summary!E36,Recap!D38)</f>
        <v>0</v>
      </c>
    </row>
    <row r="37" spans="1:5">
      <c r="A37" s="16" t="s">
        <v>36</v>
      </c>
      <c r="B37" s="17"/>
      <c r="C37" s="23">
        <f>+C36*C35</f>
        <v>0</v>
      </c>
      <c r="D37" s="23">
        <f>+D36*D35</f>
        <v>0</v>
      </c>
      <c r="E37" s="23">
        <f>+E36*E35+D37</f>
        <v>0</v>
      </c>
    </row>
    <row r="38" spans="1:5">
      <c r="A38" t="s">
        <v>31</v>
      </c>
      <c r="B38" s="3" t="s">
        <v>24</v>
      </c>
      <c r="C38" s="3">
        <f>+[3]Sheet1!$D$15</f>
        <v>789919</v>
      </c>
      <c r="D38" s="3">
        <f>+[3]Sheet1!$D$15</f>
        <v>789919</v>
      </c>
      <c r="E38" s="3">
        <f>+[3]Sheet1!$D$15</f>
        <v>789919</v>
      </c>
    </row>
    <row r="39" spans="1:5">
      <c r="A39" t="s">
        <v>32</v>
      </c>
      <c r="C39" s="30">
        <f>+C37/C38/100</f>
        <v>0</v>
      </c>
      <c r="D39" s="30">
        <f>+D37/D38/100</f>
        <v>0</v>
      </c>
      <c r="E39" s="30">
        <f>+E37/E38/100</f>
        <v>0</v>
      </c>
    </row>
    <row r="40" spans="1:5">
      <c r="A40" t="s">
        <v>33</v>
      </c>
      <c r="B40" s="15">
        <f>+B35+B39</f>
        <v>84898191</v>
      </c>
      <c r="C40" s="15">
        <f>+C35+C37</f>
        <v>85707374</v>
      </c>
      <c r="D40" s="15">
        <f>+D35+D37</f>
        <v>85707374</v>
      </c>
      <c r="E40" s="15">
        <f>+E35+E37</f>
        <v>85707374</v>
      </c>
    </row>
    <row r="42" spans="1:5">
      <c r="A42" t="s">
        <v>34</v>
      </c>
      <c r="B42" s="3">
        <f>+B21</f>
        <v>6106270</v>
      </c>
      <c r="C42" s="3">
        <f>+C21</f>
        <v>5288677</v>
      </c>
      <c r="D42" s="3">
        <f>+D21</f>
        <v>5288677</v>
      </c>
      <c r="E42" s="3">
        <f>+E21</f>
        <v>5288677</v>
      </c>
    </row>
    <row r="44" spans="1:5">
      <c r="A44" t="s">
        <v>35</v>
      </c>
      <c r="B44" s="15">
        <f>+B33+B40+B42</f>
        <v>181737840</v>
      </c>
      <c r="C44" s="15">
        <f>+C33+C40+C42</f>
        <v>177478053.34999999</v>
      </c>
      <c r="D44" s="15">
        <f>+D33+D40+D42</f>
        <v>177986401</v>
      </c>
      <c r="E44" s="15">
        <f>+E33+E40+E42</f>
        <v>174328144</v>
      </c>
    </row>
    <row r="45" spans="1:5">
      <c r="A45" t="s">
        <v>37</v>
      </c>
      <c r="B45" s="24">
        <f>+B44/B23-1</f>
        <v>0</v>
      </c>
      <c r="C45" s="24">
        <f>+C44/C23-1</f>
        <v>-2.2938217373835501E-2</v>
      </c>
      <c r="D45" s="24">
        <f>+D44/D23-1</f>
        <v>-2.0139634384403471E-2</v>
      </c>
      <c r="E45" s="24">
        <f>+E44/E23-1</f>
        <v>-4.0279268768806831E-2</v>
      </c>
    </row>
    <row r="47" spans="1:5" ht="15" thickBot="1"/>
    <row r="48" spans="1:5">
      <c r="A48" s="31" t="s">
        <v>38</v>
      </c>
      <c r="B48" s="32">
        <f>+B23-B44</f>
        <v>0</v>
      </c>
      <c r="C48" s="32">
        <f>+C44-C23</f>
        <v>-4166604.650000006</v>
      </c>
      <c r="D48" s="32">
        <f>+D44-D23</f>
        <v>-3658257</v>
      </c>
      <c r="E48" s="32">
        <f>+E44-E23</f>
        <v>-7316514</v>
      </c>
    </row>
    <row r="49" spans="1:5" ht="15" thickBot="1">
      <c r="A49" s="33" t="s">
        <v>39</v>
      </c>
      <c r="B49" s="34"/>
      <c r="C49" s="35">
        <f>+C48/B23</f>
        <v>-2.2926456317517618E-2</v>
      </c>
      <c r="D49" s="35">
        <f>+D48/C23</f>
        <v>-2.0139634384403422E-2</v>
      </c>
      <c r="E49" s="36">
        <f>+E48/D23</f>
        <v>-4.0279268768806845E-2</v>
      </c>
    </row>
    <row r="52" spans="1:5">
      <c r="A52" t="s">
        <v>50</v>
      </c>
      <c r="C52" s="20">
        <f>+C33-C11</f>
        <v>-4166604.650000006</v>
      </c>
      <c r="D52" s="20">
        <f>+D33-D11</f>
        <v>-3658257</v>
      </c>
      <c r="E52" s="20">
        <f>+E33-E11</f>
        <v>-7316514</v>
      </c>
    </row>
    <row r="53" spans="1:5">
      <c r="A53" t="s">
        <v>51</v>
      </c>
      <c r="C53" s="20">
        <f>+C40-C15</f>
        <v>0</v>
      </c>
      <c r="D53" s="20">
        <f>+D40-D15</f>
        <v>0</v>
      </c>
      <c r="E53" s="20">
        <f>+E40-E15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6"/>
  <sheetViews>
    <sheetView topLeftCell="A68" workbookViewId="0">
      <selection activeCell="G80" sqref="G80"/>
    </sheetView>
  </sheetViews>
  <sheetFormatPr defaultRowHeight="14.4"/>
  <cols>
    <col min="1" max="1" width="25.33203125" customWidth="1"/>
    <col min="2" max="2" width="15" style="3" customWidth="1"/>
    <col min="3" max="5" width="15" customWidth="1"/>
    <col min="6" max="6" width="13.88671875" customWidth="1"/>
    <col min="8" max="8" width="11" bestFit="1" customWidth="1"/>
    <col min="10" max="10" width="11" bestFit="1" customWidth="1"/>
  </cols>
  <sheetData>
    <row r="1" spans="1:5">
      <c r="A1" t="s">
        <v>23</v>
      </c>
    </row>
    <row r="2" spans="1:5" ht="30" customHeight="1">
      <c r="A2" s="14" t="s">
        <v>22</v>
      </c>
      <c r="B2" s="4" t="s">
        <v>4</v>
      </c>
      <c r="C2" s="5" t="s">
        <v>20</v>
      </c>
      <c r="D2" s="5" t="s">
        <v>21</v>
      </c>
      <c r="E2" s="5" t="s">
        <v>21</v>
      </c>
    </row>
    <row r="3" spans="1:5" ht="18.600000000000001" customHeight="1">
      <c r="B3" s="8" t="s">
        <v>0</v>
      </c>
      <c r="C3" s="9" t="s">
        <v>1</v>
      </c>
      <c r="D3" s="9" t="s">
        <v>2</v>
      </c>
      <c r="E3" s="9" t="s">
        <v>3</v>
      </c>
    </row>
    <row r="4" spans="1:5" ht="18.600000000000001" customHeight="1">
      <c r="A4" s="2" t="s">
        <v>5</v>
      </c>
    </row>
    <row r="5" spans="1:5" ht="18.600000000000001" customHeight="1">
      <c r="A5" s="7" t="s">
        <v>6</v>
      </c>
      <c r="B5" s="10">
        <f>+ASU!B5+DSU!B5+JSU!B5+MSU!B5+MUW!B5+MVSU!B5+UM!B5+USM!B5</f>
        <v>334748722</v>
      </c>
      <c r="C5" s="10">
        <f>+ASU!C5+DSU!C5+JSU!C5+MSU!C5+MUW!C5+MVSU!C5+UM!C5+USM!C5</f>
        <v>313441088</v>
      </c>
      <c r="D5" s="10">
        <f>+ASU!D5+DSU!D5+JSU!D5+MSU!D5+MUW!D5+MVSU!D5+UM!D5+USM!D5</f>
        <v>313441088</v>
      </c>
      <c r="E5" s="10">
        <f>+ASU!E5+DSU!E5+JSU!E5+MSU!E5+MUW!E5+MVSU!E5+UM!E5+USM!E5</f>
        <v>313441088</v>
      </c>
    </row>
    <row r="6" spans="1:5" ht="18.600000000000001" customHeight="1">
      <c r="A6" s="7" t="s">
        <v>7</v>
      </c>
      <c r="B6" s="10">
        <f>+ASU!B6+DSU!B6+JSU!B6+MSU!B6+MUW!B6+MVSU!B6+UM!B6+USM!B6</f>
        <v>50775091</v>
      </c>
      <c r="C6" s="10">
        <f>+ASU!C6+DSU!C6+JSU!C6+MSU!C6+MUW!C6+MVSU!C6+UM!C6+USM!C6</f>
        <v>47536968</v>
      </c>
      <c r="D6" s="10">
        <f>+ASU!D6+DSU!D6+JSU!D6+MSU!D6+MUW!D6+MVSU!D6+UM!D6+USM!D6</f>
        <v>47536968</v>
      </c>
      <c r="E6" s="10">
        <f>+ASU!E6+DSU!E6+JSU!E6+MSU!E6+MUW!E6+MVSU!E6+UM!E6+USM!E6</f>
        <v>47536968</v>
      </c>
    </row>
    <row r="7" spans="1:5" ht="18.600000000000001" customHeight="1">
      <c r="A7" s="7" t="s">
        <v>8</v>
      </c>
      <c r="B7" s="10">
        <f>+ASU!B7+DSU!B7+JSU!B7+MSU!B7+MUW!B7+MVSU!B7+UM!B7+USM!B7</f>
        <v>7996044</v>
      </c>
      <c r="C7" s="10">
        <f>+ASU!C7+DSU!C7+JSU!C7+MSU!C7+MUW!C7+MVSU!C7+UM!C7+USM!C7</f>
        <v>0</v>
      </c>
      <c r="D7" s="10">
        <f>+ASU!D7+DSU!D7+JSU!D7+MSU!D7+MUW!D7+MVSU!D7+UM!D7+USM!D7</f>
        <v>0</v>
      </c>
      <c r="E7" s="10">
        <f>+ASU!E7+DSU!E7+JSU!E7+MSU!E7+MUW!E7+MVSU!E7+UM!E7+USM!E7</f>
        <v>0</v>
      </c>
    </row>
    <row r="8" spans="1:5" ht="18.600000000000001" customHeight="1">
      <c r="A8" s="7" t="s">
        <v>10</v>
      </c>
      <c r="B8" s="10">
        <f>SUM(B5:B7)</f>
        <v>393519857</v>
      </c>
      <c r="C8" s="10">
        <f>SUM(C5:C7)</f>
        <v>360978056</v>
      </c>
      <c r="D8" s="10">
        <f>SUM(D5:D7)</f>
        <v>360978056</v>
      </c>
      <c r="E8" s="10">
        <f>SUM(E5:E7)</f>
        <v>360978056</v>
      </c>
    </row>
    <row r="9" spans="1:5" ht="18.600000000000001" customHeight="1">
      <c r="A9" s="7"/>
      <c r="B9" s="10" t="s">
        <v>24</v>
      </c>
      <c r="C9" s="10" t="s">
        <v>24</v>
      </c>
      <c r="D9" s="10" t="s">
        <v>24</v>
      </c>
      <c r="E9" s="10" t="s">
        <v>24</v>
      </c>
    </row>
    <row r="10" spans="1:5" ht="18.600000000000001" customHeight="1">
      <c r="A10" s="7" t="s">
        <v>9</v>
      </c>
      <c r="B10" s="10">
        <f>+ASU!B10+DSU!B10+JSU!B10+MSU!B10+MUW!B10+MVSU!B10+UM!B10+USM!B10</f>
        <v>0</v>
      </c>
      <c r="C10" s="10">
        <f>+ASU!C10+DSU!C10+JSU!C10+MSU!C10+MUW!C10+MVSU!C10+UM!C10+USM!C10</f>
        <v>31450554</v>
      </c>
      <c r="D10" s="10">
        <f>+ASU!D10+DSU!D10+JSU!D10+MSU!D10+MUW!D10+MVSU!D10+UM!D10+USM!D10</f>
        <v>31450554</v>
      </c>
      <c r="E10" s="10">
        <f>+ASU!E10+DSU!E10+JSU!E10+MSU!E10+MUW!E10+MVSU!E10+UM!E10+USM!E10</f>
        <v>31450554</v>
      </c>
    </row>
    <row r="11" spans="1:5" ht="18.600000000000001" customHeight="1">
      <c r="A11" s="11" t="s">
        <v>19</v>
      </c>
      <c r="B11" s="13">
        <f>+ASU!B11+DSU!B11+JSU!B11+MSU!B11+MUW!B11+MVSU!B11+UM!B11+USM!B11</f>
        <v>393519857</v>
      </c>
      <c r="C11" s="13">
        <f>+ASU!C11+DSU!C11+JSU!C11+MSU!C11+MUW!C11+MVSU!C11+UM!C11+USM!C11</f>
        <v>392428610</v>
      </c>
      <c r="D11" s="13">
        <f>+ASU!D11+DSU!D11+JSU!D11+MSU!D11+MUW!D11+MVSU!D11+UM!D11+USM!D11</f>
        <v>392428610</v>
      </c>
      <c r="E11" s="13">
        <f>+ASU!E11+DSU!E11+JSU!E11+MSU!E11+MUW!E11+MVSU!E11+UM!E11+USM!E11</f>
        <v>392428610</v>
      </c>
    </row>
    <row r="12" spans="1:5" ht="18.600000000000001" customHeight="1">
      <c r="B12" s="10" t="s">
        <v>24</v>
      </c>
      <c r="C12" s="10" t="s">
        <v>24</v>
      </c>
      <c r="D12" s="10" t="s">
        <v>24</v>
      </c>
      <c r="E12" s="10" t="s">
        <v>24</v>
      </c>
    </row>
    <row r="13" spans="1:5" ht="18.600000000000001" customHeight="1">
      <c r="A13" s="11" t="s">
        <v>11</v>
      </c>
      <c r="B13" s="10" t="s">
        <v>24</v>
      </c>
      <c r="C13" s="10" t="s">
        <v>24</v>
      </c>
      <c r="D13" s="10" t="s">
        <v>24</v>
      </c>
      <c r="E13" s="10" t="s">
        <v>24</v>
      </c>
    </row>
    <row r="14" spans="1:5" ht="18.600000000000001" customHeight="1">
      <c r="A14" s="7" t="s">
        <v>11</v>
      </c>
      <c r="B14" s="10">
        <f>+ASU!B14+DSU!B14+JSU!B14+MSU!B14+MUW!B14+MVSU!B14+UM!B14+USM!B14</f>
        <v>401923581</v>
      </c>
      <c r="C14" s="10">
        <f>+ASU!C14+DSU!C14+JSU!C14+MSU!C14+MUW!C14+MVSU!C14+UM!C14+USM!C14</f>
        <v>415149304</v>
      </c>
      <c r="D14" s="10">
        <f>+ASU!D14+DSU!D14+JSU!D14+MSU!D14+MUW!D14+MVSU!D14+UM!D14+USM!D14</f>
        <v>415149304</v>
      </c>
      <c r="E14" s="10">
        <f>+ASU!E14+DSU!E14+JSU!E14+MSU!E14+MUW!E14+MVSU!E14+UM!E14+USM!E14</f>
        <v>415149304</v>
      </c>
    </row>
    <row r="15" spans="1:5" ht="18.600000000000001" customHeight="1">
      <c r="A15" s="7" t="s">
        <v>18</v>
      </c>
      <c r="B15" s="10">
        <f>+ASU!B15+DSU!B15+JSU!B15+MSU!B15+MUW!B15+MVSU!B15+UM!B15+USM!B15</f>
        <v>401923581</v>
      </c>
      <c r="C15" s="10">
        <f>+ASU!C15+DSU!C15+JSU!C15+MSU!C15+MUW!C15+MVSU!C15+UM!C15+USM!C15</f>
        <v>415149304</v>
      </c>
      <c r="D15" s="10">
        <f>+ASU!D15+DSU!D15+JSU!D15+MSU!D15+MUW!D15+MVSU!D15+UM!D15+USM!D15</f>
        <v>415149304</v>
      </c>
      <c r="E15" s="10">
        <f>+ASU!E15+DSU!E15+JSU!E15+MSU!E15+MUW!E15+MVSU!E15+UM!E15+USM!E15</f>
        <v>415149304</v>
      </c>
    </row>
    <row r="16" spans="1:5" ht="18.600000000000001" customHeight="1">
      <c r="A16" s="11" t="s">
        <v>12</v>
      </c>
      <c r="B16" s="10" t="s">
        <v>24</v>
      </c>
      <c r="C16" s="10" t="s">
        <v>24</v>
      </c>
      <c r="D16" s="10" t="s">
        <v>25</v>
      </c>
      <c r="E16" s="10" t="s">
        <v>24</v>
      </c>
    </row>
    <row r="17" spans="1:5" ht="18.600000000000001" customHeight="1">
      <c r="A17" s="7" t="s">
        <v>14</v>
      </c>
      <c r="B17" s="10">
        <f>+ASU!B17+DSU!B17+JSU!B17+MSU!B17+MUW!B17+MVSU!B17+UM!B17+USM!B17</f>
        <v>14462257</v>
      </c>
      <c r="C17" s="10">
        <f>+ASU!C17+DSU!C17+JSU!C17+MSU!C17+MUW!C17+MVSU!C17+UM!C17+USM!C17</f>
        <v>14475314</v>
      </c>
      <c r="D17" s="10">
        <f>+ASU!D17+DSU!D17+JSU!D17+MSU!D17+MUW!D17+MVSU!D17+UM!D17+USM!D17</f>
        <v>14475314</v>
      </c>
      <c r="E17" s="10">
        <f>+ASU!E17+DSU!E17+JSU!E17+MSU!E17+MUW!E17+MVSU!E17+UM!E17+USM!E17</f>
        <v>14475314</v>
      </c>
    </row>
    <row r="18" spans="1:5" ht="18.600000000000001" customHeight="1">
      <c r="A18" s="7" t="s">
        <v>15</v>
      </c>
      <c r="B18" s="6">
        <f>+ASU!B18+DSU!B18+JSU!B18+MSU!B18+MUW!B18+MVSU!B18+UM!B18+USM!B18</f>
        <v>10094709</v>
      </c>
      <c r="C18" s="6">
        <f>+ASU!C18+DSU!C18+JSU!C18+MSU!C18+MUW!C18+MVSU!C18+UM!C18+USM!C18</f>
        <v>10202269</v>
      </c>
      <c r="D18" s="6">
        <f>+ASU!D18+DSU!D18+JSU!D18+MSU!D18+MUW!D18+MVSU!D18+UM!D18+USM!D18</f>
        <v>10202269</v>
      </c>
      <c r="E18" s="6">
        <f>+ASU!E18+DSU!E18+JSU!E18+MSU!E18+MUW!E18+MVSU!E18+UM!E18+USM!E18</f>
        <v>10202269</v>
      </c>
    </row>
    <row r="19" spans="1:5" ht="18.600000000000001" customHeight="1">
      <c r="A19" s="7" t="s">
        <v>12</v>
      </c>
      <c r="B19" s="6">
        <f>+ASU!B19+DSU!B19+JSU!B19+MSU!B19+MUW!B19+MVSU!B19+UM!B19+USM!B19</f>
        <v>34120057</v>
      </c>
      <c r="C19" s="6">
        <f>+ASU!C19+DSU!C19+JSU!C19+MSU!C19+MUW!C19+MVSU!C19+UM!C19+USM!C19</f>
        <v>26929893</v>
      </c>
      <c r="D19" s="6">
        <f>+ASU!D19+DSU!D19+JSU!D19+MSU!D19+MUW!D19+MVSU!D19+UM!D19+USM!D19</f>
        <v>26929893</v>
      </c>
      <c r="E19" s="6">
        <f>+ASU!E19+DSU!E19+JSU!E19+MSU!E19+MUW!E19+MVSU!E19+UM!E19+USM!E19</f>
        <v>26929893</v>
      </c>
    </row>
    <row r="20" spans="1:5" ht="18.600000000000001" customHeight="1">
      <c r="A20" s="7" t="s">
        <v>16</v>
      </c>
      <c r="B20" s="6">
        <f>+ASU!B20+DSU!B20+JSU!B20+MSU!B20+MUW!B20+MVSU!B20+UM!B20+USM!B20</f>
        <v>5100000</v>
      </c>
      <c r="C20" s="6">
        <f>+ASU!C20+DSU!C20+JSU!C20+MSU!C20+MUW!C20+MVSU!C20+UM!C20+USM!C20</f>
        <v>2500000</v>
      </c>
      <c r="D20" s="6">
        <f>+ASU!D20+DSU!D20+JSU!D20+MSU!D20+MUW!D20+MVSU!D20+UM!D20+USM!D20</f>
        <v>2500000</v>
      </c>
      <c r="E20" s="6">
        <f>+ASU!E20+DSU!E20+JSU!E20+MSU!E20+MUW!E20+MVSU!E20+UM!E20+USM!E20</f>
        <v>2500000</v>
      </c>
    </row>
    <row r="21" spans="1:5" ht="18.600000000000001" customHeight="1">
      <c r="A21" s="7" t="s">
        <v>17</v>
      </c>
      <c r="B21" s="10">
        <f>SUM(B17:B20)</f>
        <v>63777023</v>
      </c>
      <c r="C21" s="10">
        <f>SUM(C17:C20)</f>
        <v>54107476</v>
      </c>
      <c r="D21" s="10">
        <f>SUM(D17:D20)</f>
        <v>54107476</v>
      </c>
      <c r="E21" s="10">
        <f>SUM(E17:E20)</f>
        <v>54107476</v>
      </c>
    </row>
    <row r="22" spans="1:5" ht="18.600000000000001" customHeight="1">
      <c r="C22" s="3"/>
      <c r="D22" s="3"/>
      <c r="E22" s="3"/>
    </row>
    <row r="23" spans="1:5" s="1" customFormat="1" ht="18.600000000000001" customHeight="1">
      <c r="A23" s="12" t="s">
        <v>13</v>
      </c>
      <c r="B23" s="13">
        <f>+B11+B15+B21</f>
        <v>859220461</v>
      </c>
      <c r="C23" s="13">
        <f>+C11+C15+C21</f>
        <v>861685390</v>
      </c>
      <c r="D23" s="13">
        <f>+D11+D15+D21</f>
        <v>861685390</v>
      </c>
      <c r="E23" s="13">
        <f>+E11+E15+E21</f>
        <v>861685390</v>
      </c>
    </row>
    <row r="26" spans="1:5">
      <c r="A26" t="s">
        <v>27</v>
      </c>
      <c r="B26" s="15">
        <f>+B8</f>
        <v>393519857</v>
      </c>
      <c r="C26" s="15">
        <f>+C8</f>
        <v>360978056</v>
      </c>
      <c r="D26" s="15">
        <f>+D8</f>
        <v>360978056</v>
      </c>
      <c r="E26" s="15">
        <f>+E8</f>
        <v>360978056</v>
      </c>
    </row>
    <row r="27" spans="1:5">
      <c r="A27" s="16" t="s">
        <v>28</v>
      </c>
      <c r="B27" s="29">
        <v>0</v>
      </c>
      <c r="C27" s="29">
        <f>-Recap!E2</f>
        <v>0.05</v>
      </c>
      <c r="D27" s="29">
        <f>-Recap!F2</f>
        <v>0</v>
      </c>
      <c r="E27" s="29">
        <f>-Recap!G2</f>
        <v>0</v>
      </c>
    </row>
    <row r="28" spans="1:5">
      <c r="A28" s="16" t="s">
        <v>26</v>
      </c>
      <c r="B28" s="19">
        <f>+B26*B27</f>
        <v>0</v>
      </c>
      <c r="C28" s="19">
        <f>+ASU!C28+DSU!C28+JSU!C28+MSU!C28+MUW!C28+MVSU!C28+UM!C28+USM!C28</f>
        <v>18048902.800000001</v>
      </c>
      <c r="D28" s="19">
        <f>+ASU!D28+DSU!D28+JSU!D28+MSU!D28+MUW!D28+MVSU!D28+UM!D28+USM!D28</f>
        <v>0</v>
      </c>
      <c r="E28" s="19">
        <f>+ASU!E28+DSU!E28+JSU!E28+MSU!E28+MUW!E28+MVSU!E28+UM!E28+USM!E28</f>
        <v>0</v>
      </c>
    </row>
    <row r="29" spans="1:5">
      <c r="A29" t="s">
        <v>29</v>
      </c>
      <c r="B29" s="20">
        <f>+B26-B28</f>
        <v>393519857</v>
      </c>
      <c r="C29" s="20">
        <f>+C26-C28</f>
        <v>342929153.19999999</v>
      </c>
      <c r="D29" s="20">
        <f>+D26-D28</f>
        <v>360978056</v>
      </c>
      <c r="E29" s="20">
        <f>+E26-E28</f>
        <v>360978056</v>
      </c>
    </row>
    <row r="30" spans="1:5">
      <c r="A30" t="s">
        <v>9</v>
      </c>
      <c r="B30" s="3">
        <f>+B10</f>
        <v>0</v>
      </c>
      <c r="C30" s="3">
        <f>+C10</f>
        <v>31450554</v>
      </c>
      <c r="D30" s="3">
        <f>+D10</f>
        <v>31450554</v>
      </c>
      <c r="E30" s="3">
        <f>+E10</f>
        <v>31450554</v>
      </c>
    </row>
    <row r="31" spans="1:5">
      <c r="A31" t="s">
        <v>56</v>
      </c>
      <c r="B31" s="3">
        <v>0</v>
      </c>
      <c r="C31" s="3">
        <v>0</v>
      </c>
      <c r="D31" s="3">
        <f>+C30/2</f>
        <v>15725277</v>
      </c>
      <c r="E31" s="3">
        <f>+C30</f>
        <v>31450554</v>
      </c>
    </row>
    <row r="32" spans="1:5">
      <c r="A32" t="s">
        <v>57</v>
      </c>
      <c r="B32" s="3">
        <v>0</v>
      </c>
      <c r="C32" s="3">
        <f>+C30-C31</f>
        <v>31450554</v>
      </c>
      <c r="D32" s="3">
        <f>+D30-D31</f>
        <v>15725277</v>
      </c>
      <c r="E32" s="3">
        <f>+E30-E31</f>
        <v>0</v>
      </c>
    </row>
    <row r="33" spans="1:6">
      <c r="B33" s="15">
        <f>+B29+B32</f>
        <v>393519857</v>
      </c>
      <c r="C33" s="15">
        <f>+C29+C32</f>
        <v>374379707.19999999</v>
      </c>
      <c r="D33" s="15">
        <f>+D29+D32</f>
        <v>376703333</v>
      </c>
      <c r="E33" s="15">
        <f>+E29+E32</f>
        <v>360978056</v>
      </c>
      <c r="F33" s="15">
        <f>+ASU!E33+DSU!E33+JSU!E33+MSU!E33+MUW!E33+MVSU!E33+UM!E33+USM!E33</f>
        <v>360978056</v>
      </c>
    </row>
    <row r="35" spans="1:6">
      <c r="A35" t="s">
        <v>11</v>
      </c>
      <c r="B35" s="15">
        <f>+B15</f>
        <v>401923581</v>
      </c>
      <c r="C35" s="15">
        <f>+C15</f>
        <v>415149304</v>
      </c>
      <c r="D35" s="15">
        <f>+D15</f>
        <v>415149304</v>
      </c>
      <c r="E35" s="15">
        <f>+E15</f>
        <v>415149304</v>
      </c>
    </row>
    <row r="36" spans="1:6">
      <c r="A36" s="16" t="s">
        <v>30</v>
      </c>
      <c r="B36" s="27" t="s">
        <v>24</v>
      </c>
      <c r="C36" s="28">
        <f>+Recap!E3</f>
        <v>0</v>
      </c>
      <c r="D36" s="28">
        <f>+Recap!F3</f>
        <v>0</v>
      </c>
      <c r="E36" s="28">
        <f>+Recap!G3</f>
        <v>0</v>
      </c>
    </row>
    <row r="37" spans="1:6">
      <c r="A37" s="16" t="s">
        <v>36</v>
      </c>
      <c r="B37" s="17">
        <v>0</v>
      </c>
      <c r="C37" s="19">
        <f>+ASU!C37+DSU!C37+JSU!C37+MSU!C37+MUW!C37+MVSU!C37+UM!C37+USM!C37</f>
        <v>0</v>
      </c>
      <c r="D37" s="19">
        <f>+ASU!D37+DSU!D37+JSU!D37+MSU!D37+MUW!D37+MVSU!D37+UM!D37+USM!D37</f>
        <v>0</v>
      </c>
      <c r="E37" s="19">
        <f>+ASU!E37+DSU!E37+JSU!E37+MSU!E37+MUW!E37+MVSU!E37+UM!E37+USM!E37</f>
        <v>0</v>
      </c>
    </row>
    <row r="38" spans="1:6">
      <c r="A38" t="s">
        <v>31</v>
      </c>
      <c r="C38" s="6">
        <f>+ASU!C38+DSU!C38+JSU!C38+MSU!C38+MUW!C38+MVSU!C38+UM!C38+USM!C38</f>
        <v>3843679</v>
      </c>
      <c r="D38" s="6">
        <f>+ASU!D38+DSU!D38+JSU!D38+MSU!D38+MUW!D38+MVSU!D38+UM!D38+USM!D38</f>
        <v>3843679</v>
      </c>
      <c r="E38" s="6">
        <f>+ASU!E38+DSU!E38+JSU!E38+MSU!E38+MUW!E38+MVSU!E38+UM!E38+USM!E38</f>
        <v>3843679</v>
      </c>
    </row>
    <row r="39" spans="1:6">
      <c r="A39" t="s">
        <v>32</v>
      </c>
    </row>
    <row r="40" spans="1:6">
      <c r="A40" t="s">
        <v>33</v>
      </c>
      <c r="B40" s="15">
        <f>+B35+B37</f>
        <v>401923581</v>
      </c>
      <c r="C40" s="15">
        <f>+C35+C37</f>
        <v>415149304</v>
      </c>
      <c r="D40" s="15">
        <f>+D35+D37</f>
        <v>415149304</v>
      </c>
      <c r="E40" s="15">
        <f>+E35+E37</f>
        <v>415149304</v>
      </c>
      <c r="F40" s="15">
        <f>+ASU!E40+DSU!E40+JSU!E40+MSU!E40+MUW!E40+MVSU!E40+UM!E40+USM!E40</f>
        <v>415149304</v>
      </c>
    </row>
    <row r="42" spans="1:6">
      <c r="A42" t="s">
        <v>34</v>
      </c>
      <c r="B42" s="3">
        <f>+B21</f>
        <v>63777023</v>
      </c>
      <c r="C42" s="3">
        <f>+C21</f>
        <v>54107476</v>
      </c>
      <c r="D42" s="3">
        <f>+D21</f>
        <v>54107476</v>
      </c>
      <c r="E42" s="3">
        <f>+E21</f>
        <v>54107476</v>
      </c>
    </row>
    <row r="44" spans="1:6" s="1" customFormat="1">
      <c r="A44" s="1" t="s">
        <v>35</v>
      </c>
      <c r="B44" s="25">
        <f>+B33+B40+B42</f>
        <v>859220461</v>
      </c>
      <c r="C44" s="25">
        <f>+C33+C40+C42</f>
        <v>843636487.20000005</v>
      </c>
      <c r="D44" s="25">
        <f>+D33+D40+D42</f>
        <v>845960113</v>
      </c>
      <c r="E44" s="25">
        <f>+E33+E40+E42</f>
        <v>830234836</v>
      </c>
    </row>
    <row r="45" spans="1:6" s="1" customFormat="1">
      <c r="A45" s="1" t="s">
        <v>37</v>
      </c>
      <c r="B45" s="26">
        <f>+B44/B23-1</f>
        <v>0</v>
      </c>
      <c r="C45" s="26">
        <f>+C44/C23-1</f>
        <v>-2.0946047141405022E-2</v>
      </c>
      <c r="D45" s="26">
        <f>+D44/D23-1</f>
        <v>-1.8249441365136732E-2</v>
      </c>
      <c r="E45" s="26">
        <f>+E44/E23-1</f>
        <v>-3.6498882730273463E-2</v>
      </c>
    </row>
    <row r="47" spans="1:6" ht="15" thickBot="1">
      <c r="B47"/>
    </row>
    <row r="48" spans="1:6">
      <c r="A48" s="31" t="s">
        <v>38</v>
      </c>
      <c r="B48" s="32">
        <f>+B23-B44</f>
        <v>0</v>
      </c>
      <c r="C48" s="32">
        <f>+C44-C23</f>
        <v>-18048902.799999952</v>
      </c>
      <c r="D48" s="32">
        <f>+D44-D23</f>
        <v>-15725277</v>
      </c>
      <c r="E48" s="32">
        <f>+E44-E23</f>
        <v>-31450554</v>
      </c>
    </row>
    <row r="49" spans="1:10" ht="15" thickBot="1">
      <c r="A49" s="33" t="s">
        <v>39</v>
      </c>
      <c r="B49" s="34"/>
      <c r="C49" s="35">
        <f>+C48/B23</f>
        <v>-2.1006137096635031E-2</v>
      </c>
      <c r="D49" s="35">
        <f>+D48/C23</f>
        <v>-1.8249441365136759E-2</v>
      </c>
      <c r="E49" s="36">
        <f>+E48/D23</f>
        <v>-3.6498882730273519E-2</v>
      </c>
    </row>
    <row r="52" spans="1:10">
      <c r="A52" t="s">
        <v>50</v>
      </c>
      <c r="C52" s="20">
        <f>+C33-C11</f>
        <v>-18048902.800000012</v>
      </c>
      <c r="D52" s="20">
        <f>+D33-D11</f>
        <v>-15725277</v>
      </c>
      <c r="E52" s="20">
        <f>+E33-E11</f>
        <v>-31450554</v>
      </c>
    </row>
    <row r="53" spans="1:10">
      <c r="A53" t="s">
        <v>51</v>
      </c>
      <c r="C53" s="20">
        <f>+C40-C15</f>
        <v>0</v>
      </c>
      <c r="D53" s="20">
        <f>+D40-D15</f>
        <v>0</v>
      </c>
      <c r="E53" s="20">
        <f>+E40-E15</f>
        <v>0</v>
      </c>
    </row>
    <row r="57" spans="1:10">
      <c r="C57" t="s">
        <v>24</v>
      </c>
      <c r="D57">
        <v>830619773</v>
      </c>
    </row>
    <row r="58" spans="1:10">
      <c r="B58"/>
      <c r="C58" t="s">
        <v>24</v>
      </c>
      <c r="D58">
        <v>3.6</v>
      </c>
    </row>
    <row r="59" spans="1:10">
      <c r="B59"/>
    </row>
    <row r="60" spans="1:10">
      <c r="B60" t="s">
        <v>41</v>
      </c>
      <c r="C60" t="s">
        <v>43</v>
      </c>
      <c r="D60" t="s">
        <v>44</v>
      </c>
      <c r="E60" t="s">
        <v>45</v>
      </c>
      <c r="F60" t="s">
        <v>46</v>
      </c>
      <c r="G60" t="s">
        <v>47</v>
      </c>
      <c r="H60" t="s">
        <v>48</v>
      </c>
      <c r="I60" t="s">
        <v>49</v>
      </c>
      <c r="J60" t="s">
        <v>69</v>
      </c>
    </row>
    <row r="61" spans="1:10">
      <c r="A61">
        <v>2010</v>
      </c>
      <c r="B61" s="24">
        <f>+ASU!C39</f>
        <v>0</v>
      </c>
      <c r="C61" s="24">
        <f>+DSU!C39</f>
        <v>0</v>
      </c>
      <c r="D61" s="24">
        <f>+JSU!C39</f>
        <v>0</v>
      </c>
      <c r="E61" s="24">
        <f>+MSU!C39</f>
        <v>0</v>
      </c>
      <c r="F61" s="24">
        <f>+MUW!C39</f>
        <v>0</v>
      </c>
      <c r="G61" s="24">
        <f>+MVSU!C39</f>
        <v>0</v>
      </c>
      <c r="H61" s="24">
        <f>+UM!C39</f>
        <v>0</v>
      </c>
      <c r="I61" s="24">
        <f>+USM!C39</f>
        <v>0</v>
      </c>
      <c r="J61" s="24">
        <f>AVERAGE(B61:I61)</f>
        <v>0</v>
      </c>
    </row>
    <row r="62" spans="1:10">
      <c r="A62">
        <v>2011</v>
      </c>
      <c r="B62" s="24">
        <f>+ASU!D39</f>
        <v>0</v>
      </c>
      <c r="C62" s="24">
        <f>+DSU!D39</f>
        <v>0</v>
      </c>
      <c r="D62" s="24">
        <f>+JSU!D39</f>
        <v>0</v>
      </c>
      <c r="E62" s="24">
        <f>+MSU!D39</f>
        <v>0</v>
      </c>
      <c r="F62" s="24">
        <f>+MUW!D39</f>
        <v>0</v>
      </c>
      <c r="G62" s="24">
        <f>+MVSU!D39</f>
        <v>0</v>
      </c>
      <c r="H62" s="24">
        <f>+UM!D39</f>
        <v>0</v>
      </c>
      <c r="I62" s="24">
        <f>+USM!D39</f>
        <v>0</v>
      </c>
      <c r="J62" s="24">
        <f t="shared" ref="J62:J63" si="0">AVERAGE(B62:I62)</f>
        <v>0</v>
      </c>
    </row>
    <row r="63" spans="1:10">
      <c r="A63">
        <v>2012</v>
      </c>
      <c r="B63" s="24">
        <f>+IF(ASU!$E$37=ASU!$D$37,0%,+ASU!$E$39-ASU!$D$39)</f>
        <v>0</v>
      </c>
      <c r="C63" s="24">
        <f>+IF(DSU!$E$37=DSU!$D$37,0%,+DSU!$E$39-DSU!$D$39)</f>
        <v>0</v>
      </c>
      <c r="D63" s="24">
        <f>+IF(JSU!$E$37=JSU!$D$37,0%,+JSU!$E$39-JSU!$D$39)</f>
        <v>0</v>
      </c>
      <c r="E63" s="24">
        <f>+IF(MSU!$E$37=MSU!$D$37,0%,+MSU!$E$39-MSU!$D$39)</f>
        <v>0</v>
      </c>
      <c r="F63" s="24">
        <f>+IF(MUW!$E$37=MUW!$D$37,0%,+MUW!$E$39-MUW!$D$39)</f>
        <v>0</v>
      </c>
      <c r="G63" s="24">
        <f>+IF(MVSU!$E$37=MVSU!$D$37,0%,+MVSU!$E$39-MVSU!$D$39)</f>
        <v>0</v>
      </c>
      <c r="H63" s="24">
        <f>+IF(UM!$E$37=UM!$D$37,0%,+UM!$E$39-UM!$D$39)</f>
        <v>0</v>
      </c>
      <c r="I63" s="24">
        <f>+IF(USM!$E$37=USM!$D$37,0%,+USM!$E$39-USM!$D$39)</f>
        <v>0</v>
      </c>
      <c r="J63" s="24">
        <f t="shared" si="0"/>
        <v>0</v>
      </c>
    </row>
    <row r="64" spans="1:10">
      <c r="B64"/>
    </row>
    <row r="65" spans="1:11" hidden="1">
      <c r="B65"/>
    </row>
    <row r="66" spans="1:11" hidden="1">
      <c r="B66"/>
    </row>
    <row r="67" spans="1:11" hidden="1">
      <c r="B67"/>
    </row>
    <row r="68" spans="1:11">
      <c r="B68"/>
    </row>
    <row r="69" spans="1:11" hidden="1">
      <c r="B69"/>
    </row>
    <row r="70" spans="1:11" hidden="1">
      <c r="B70"/>
    </row>
    <row r="71" spans="1:11" hidden="1">
      <c r="B71"/>
    </row>
    <row r="72" spans="1:11" hidden="1">
      <c r="B72"/>
    </row>
    <row r="73" spans="1:11" hidden="1">
      <c r="B73"/>
    </row>
    <row r="74" spans="1:11">
      <c r="B74"/>
    </row>
    <row r="75" spans="1:11">
      <c r="B75"/>
    </row>
    <row r="76" spans="1:11">
      <c r="B76"/>
    </row>
    <row r="77" spans="1:11">
      <c r="B77"/>
    </row>
    <row r="79" spans="1:11">
      <c r="A79" t="s">
        <v>73</v>
      </c>
      <c r="B79" s="3" t="s">
        <v>134</v>
      </c>
      <c r="C79" t="s">
        <v>1</v>
      </c>
      <c r="D79" t="s">
        <v>2</v>
      </c>
      <c r="E79" t="s">
        <v>3</v>
      </c>
    </row>
    <row r="80" spans="1:11">
      <c r="A80" t="s">
        <v>41</v>
      </c>
      <c r="B80" s="3">
        <v>43873708</v>
      </c>
      <c r="C80" s="3">
        <v>40549177</v>
      </c>
      <c r="D80" s="3">
        <f>+C80</f>
        <v>40549177</v>
      </c>
      <c r="E80" s="3">
        <f>+D80</f>
        <v>40549177</v>
      </c>
      <c r="G80" t="s">
        <v>24</v>
      </c>
      <c r="H80" s="189" t="s">
        <v>24</v>
      </c>
      <c r="I80" t="s">
        <v>24</v>
      </c>
      <c r="J80" s="189" t="s">
        <v>24</v>
      </c>
      <c r="K80" s="189" t="s">
        <v>24</v>
      </c>
    </row>
    <row r="81" spans="1:5">
      <c r="A81" t="s">
        <v>43</v>
      </c>
      <c r="B81" s="3">
        <v>44104705</v>
      </c>
      <c r="C81" s="3">
        <v>44028088</v>
      </c>
      <c r="D81" s="3">
        <f t="shared" ref="D81:E81" si="1">+C81</f>
        <v>44028088</v>
      </c>
      <c r="E81" s="3">
        <f t="shared" si="1"/>
        <v>44028088</v>
      </c>
    </row>
    <row r="82" spans="1:5">
      <c r="A82" t="s">
        <v>44</v>
      </c>
      <c r="B82" s="3">
        <v>95193304</v>
      </c>
      <c r="C82" s="3">
        <v>88078833</v>
      </c>
      <c r="D82" s="3">
        <f t="shared" ref="D82:E82" si="2">+C82</f>
        <v>88078833</v>
      </c>
      <c r="E82" s="3">
        <f t="shared" si="2"/>
        <v>88078833</v>
      </c>
    </row>
    <row r="83" spans="1:5">
      <c r="A83" t="s">
        <v>45</v>
      </c>
      <c r="B83" s="3">
        <v>220770105</v>
      </c>
      <c r="C83" s="3">
        <v>227707573</v>
      </c>
      <c r="D83" s="3">
        <f t="shared" ref="D83:E83" si="3">+C83</f>
        <v>227707573</v>
      </c>
      <c r="E83" s="3">
        <f t="shared" si="3"/>
        <v>227707573</v>
      </c>
    </row>
    <row r="84" spans="1:5">
      <c r="A84" t="s">
        <v>46</v>
      </c>
      <c r="B84" s="3">
        <v>29193846</v>
      </c>
      <c r="C84" s="3">
        <v>29136170</v>
      </c>
      <c r="D84" s="3">
        <f t="shared" ref="D84:E84" si="4">+C84</f>
        <v>29136170</v>
      </c>
      <c r="E84" s="3">
        <f t="shared" si="4"/>
        <v>29136170</v>
      </c>
    </row>
    <row r="85" spans="1:5">
      <c r="A85" t="s">
        <v>47</v>
      </c>
      <c r="B85" s="3">
        <v>33282440</v>
      </c>
      <c r="C85" s="3">
        <v>33638051</v>
      </c>
      <c r="D85" s="3">
        <f t="shared" ref="D85:E85" si="5">+C85</f>
        <v>33638051</v>
      </c>
      <c r="E85" s="3">
        <f t="shared" si="5"/>
        <v>33638051</v>
      </c>
    </row>
    <row r="86" spans="1:5">
      <c r="A86" t="s">
        <v>48</v>
      </c>
      <c r="B86" s="3">
        <v>211164512</v>
      </c>
      <c r="C86" s="3">
        <v>216902840</v>
      </c>
      <c r="D86" s="3">
        <f t="shared" ref="D86:E86" si="6">+C86</f>
        <v>216902840</v>
      </c>
      <c r="E86" s="3">
        <f t="shared" si="6"/>
        <v>216902840</v>
      </c>
    </row>
    <row r="87" spans="1:5">
      <c r="A87" t="s">
        <v>49</v>
      </c>
      <c r="B87" s="3">
        <v>181737840</v>
      </c>
      <c r="C87" s="3">
        <v>181644658</v>
      </c>
      <c r="D87" s="3">
        <f t="shared" ref="D87:E87" si="7">+C87</f>
        <v>181644658</v>
      </c>
      <c r="E87" s="3">
        <f t="shared" si="7"/>
        <v>181644658</v>
      </c>
    </row>
    <row r="88" spans="1:5">
      <c r="A88" t="s">
        <v>40</v>
      </c>
      <c r="B88" s="3">
        <f>SUM(B80:B87)</f>
        <v>859320460</v>
      </c>
      <c r="C88" s="3">
        <f>SUM(C80:C87)</f>
        <v>861685390</v>
      </c>
      <c r="D88" s="3">
        <f>SUM(D80:D87)</f>
        <v>861685390</v>
      </c>
      <c r="E88" s="3">
        <f>SUM(E80:E87)</f>
        <v>861685390</v>
      </c>
    </row>
    <row r="89" spans="1:5">
      <c r="B89"/>
    </row>
    <row r="90" spans="1:5">
      <c r="A90" t="s">
        <v>74</v>
      </c>
      <c r="B90"/>
      <c r="C90" s="24">
        <f>+Recap!E5</f>
        <v>2E-3</v>
      </c>
      <c r="D90" s="24">
        <f>+Recap!F5</f>
        <v>1.7999999999999999E-2</v>
      </c>
      <c r="E90" s="24">
        <f>+Recap!G5</f>
        <v>0.03</v>
      </c>
    </row>
    <row r="91" spans="1:5">
      <c r="B91"/>
    </row>
    <row r="92" spans="1:5">
      <c r="A92" t="s">
        <v>75</v>
      </c>
      <c r="B92"/>
    </row>
    <row r="93" spans="1:5">
      <c r="A93" t="s">
        <v>41</v>
      </c>
      <c r="B93"/>
      <c r="C93" s="15">
        <f t="shared" ref="C93:C100" si="8">+C80*(1+$C$90)</f>
        <v>40630275.354000002</v>
      </c>
      <c r="D93" s="15">
        <f>+C93*(1+$D$90)</f>
        <v>41361620.310372002</v>
      </c>
      <c r="E93" s="15">
        <f>+D93*(1+$E$90)</f>
        <v>42602468.919683166</v>
      </c>
    </row>
    <row r="94" spans="1:5">
      <c r="A94" t="s">
        <v>43</v>
      </c>
      <c r="B94"/>
      <c r="C94" s="3">
        <f t="shared" si="8"/>
        <v>44116144.175999999</v>
      </c>
      <c r="D94" s="3">
        <f t="shared" ref="D94:D100" si="9">+C94*(1+$D$90)</f>
        <v>44910234.771168001</v>
      </c>
      <c r="E94" s="3">
        <f t="shared" ref="E94:E100" si="10">+D94*(1+$E$90)</f>
        <v>46257541.814303041</v>
      </c>
    </row>
    <row r="95" spans="1:5">
      <c r="A95" t="s">
        <v>44</v>
      </c>
      <c r="B95"/>
      <c r="C95" s="3">
        <f t="shared" si="8"/>
        <v>88254990.665999994</v>
      </c>
      <c r="D95" s="3">
        <f t="shared" si="9"/>
        <v>89843580.497988001</v>
      </c>
      <c r="E95" s="3">
        <f t="shared" si="10"/>
        <v>92538887.912927642</v>
      </c>
    </row>
    <row r="96" spans="1:5">
      <c r="A96" t="s">
        <v>45</v>
      </c>
      <c r="B96"/>
      <c r="C96" s="3">
        <f t="shared" si="8"/>
        <v>228162988.146</v>
      </c>
      <c r="D96" s="3">
        <f t="shared" si="9"/>
        <v>232269921.93262801</v>
      </c>
      <c r="E96" s="3">
        <f t="shared" si="10"/>
        <v>239238019.59060684</v>
      </c>
    </row>
    <row r="97" spans="1:5">
      <c r="A97" t="s">
        <v>46</v>
      </c>
      <c r="B97"/>
      <c r="C97" s="3">
        <f t="shared" si="8"/>
        <v>29194442.34</v>
      </c>
      <c r="D97" s="3">
        <f t="shared" si="9"/>
        <v>29719942.30212</v>
      </c>
      <c r="E97" s="3">
        <f t="shared" si="10"/>
        <v>30611540.5711836</v>
      </c>
    </row>
    <row r="98" spans="1:5">
      <c r="A98" t="s">
        <v>47</v>
      </c>
      <c r="B98"/>
      <c r="C98" s="3">
        <f t="shared" si="8"/>
        <v>33705327.101999998</v>
      </c>
      <c r="D98" s="3">
        <f t="shared" si="9"/>
        <v>34312022.989836</v>
      </c>
      <c r="E98" s="3">
        <f t="shared" si="10"/>
        <v>35341383.679531083</v>
      </c>
    </row>
    <row r="99" spans="1:5">
      <c r="A99" t="s">
        <v>48</v>
      </c>
      <c r="B99"/>
      <c r="C99" s="3">
        <f t="shared" si="8"/>
        <v>217336645.68000001</v>
      </c>
      <c r="D99" s="3">
        <f t="shared" si="9"/>
        <v>221248705.30224001</v>
      </c>
      <c r="E99" s="3">
        <f t="shared" si="10"/>
        <v>227886166.46130723</v>
      </c>
    </row>
    <row r="100" spans="1:5">
      <c r="A100" t="s">
        <v>49</v>
      </c>
      <c r="B100"/>
      <c r="C100" s="3">
        <f t="shared" si="8"/>
        <v>182007947.31600001</v>
      </c>
      <c r="D100" s="3">
        <f t="shared" si="9"/>
        <v>185284090.36768803</v>
      </c>
      <c r="E100" s="3">
        <f t="shared" si="10"/>
        <v>190842613.07871866</v>
      </c>
    </row>
    <row r="101" spans="1:5">
      <c r="A101" t="s">
        <v>40</v>
      </c>
      <c r="B101"/>
      <c r="C101" s="3">
        <f>SUM(C93:C100)</f>
        <v>863408760.77999997</v>
      </c>
      <c r="D101" s="3">
        <f>SUM(D93:D100)</f>
        <v>878950118.47404003</v>
      </c>
      <c r="E101" s="3">
        <f t="shared" ref="E101" si="11">SUM(E93:E100)</f>
        <v>905318622.0282613</v>
      </c>
    </row>
    <row r="102" spans="1:5">
      <c r="B102"/>
    </row>
    <row r="103" spans="1:5">
      <c r="B103"/>
    </row>
    <row r="104" spans="1:5">
      <c r="A104" t="s">
        <v>76</v>
      </c>
      <c r="B104"/>
    </row>
    <row r="105" spans="1:5">
      <c r="A105" t="s">
        <v>41</v>
      </c>
      <c r="B105"/>
      <c r="C105" s="15">
        <f>+C93-C80</f>
        <v>81098.354000002146</v>
      </c>
      <c r="D105" s="15">
        <f t="shared" ref="D105:E105" si="12">+D93-D80</f>
        <v>812443.31037200242</v>
      </c>
      <c r="E105" s="15">
        <f t="shared" si="12"/>
        <v>2053291.9196831658</v>
      </c>
    </row>
    <row r="106" spans="1:5">
      <c r="A106" t="s">
        <v>43</v>
      </c>
      <c r="B106"/>
      <c r="C106" s="3">
        <f t="shared" ref="C106:E112" si="13">+C94-C81</f>
        <v>88056.175999999046</v>
      </c>
      <c r="D106" s="3">
        <f t="shared" si="13"/>
        <v>882146.771168001</v>
      </c>
      <c r="E106" s="3">
        <f t="shared" si="13"/>
        <v>2229453.8143030405</v>
      </c>
    </row>
    <row r="107" spans="1:5">
      <c r="A107" t="s">
        <v>44</v>
      </c>
      <c r="B107"/>
      <c r="C107" s="3">
        <f t="shared" si="13"/>
        <v>176157.66599999368</v>
      </c>
      <c r="D107" s="3">
        <f t="shared" si="13"/>
        <v>1764747.4979880005</v>
      </c>
      <c r="E107" s="3">
        <f t="shared" si="13"/>
        <v>4460054.9129276425</v>
      </c>
    </row>
    <row r="108" spans="1:5">
      <c r="A108" t="s">
        <v>45</v>
      </c>
      <c r="B108"/>
      <c r="C108" s="3">
        <f t="shared" si="13"/>
        <v>455415.14599999785</v>
      </c>
      <c r="D108" s="3">
        <f t="shared" si="13"/>
        <v>4562348.9326280057</v>
      </c>
      <c r="E108" s="3">
        <f t="shared" si="13"/>
        <v>11530446.590606838</v>
      </c>
    </row>
    <row r="109" spans="1:5">
      <c r="A109" t="s">
        <v>46</v>
      </c>
      <c r="B109"/>
      <c r="C109" s="3">
        <f t="shared" si="13"/>
        <v>58272.339999999851</v>
      </c>
      <c r="D109" s="3">
        <f t="shared" si="13"/>
        <v>583772.30212000012</v>
      </c>
      <c r="E109" s="3">
        <f t="shared" si="13"/>
        <v>1475370.5711835995</v>
      </c>
    </row>
    <row r="110" spans="1:5">
      <c r="A110" t="s">
        <v>47</v>
      </c>
      <c r="B110"/>
      <c r="C110" s="3">
        <f t="shared" si="13"/>
        <v>67276.101999998093</v>
      </c>
      <c r="D110" s="3">
        <f t="shared" si="13"/>
        <v>673971.98983599991</v>
      </c>
      <c r="E110" s="3">
        <f t="shared" si="13"/>
        <v>1703332.6795310825</v>
      </c>
    </row>
    <row r="111" spans="1:5">
      <c r="A111" t="s">
        <v>48</v>
      </c>
      <c r="B111"/>
      <c r="C111" s="3">
        <f t="shared" si="13"/>
        <v>433805.68000000715</v>
      </c>
      <c r="D111" s="3">
        <f t="shared" si="13"/>
        <v>4345865.3022400141</v>
      </c>
      <c r="E111" s="3">
        <f t="shared" si="13"/>
        <v>10983326.461307228</v>
      </c>
    </row>
    <row r="112" spans="1:5">
      <c r="A112" t="s">
        <v>49</v>
      </c>
      <c r="B112"/>
      <c r="C112" s="3">
        <f t="shared" si="13"/>
        <v>363289.31600001454</v>
      </c>
      <c r="D112" s="3">
        <f t="shared" si="13"/>
        <v>3639432.36768803</v>
      </c>
      <c r="E112" s="3">
        <f t="shared" si="13"/>
        <v>9197955.0787186623</v>
      </c>
    </row>
    <row r="113" spans="1:6">
      <c r="A113" t="s">
        <v>40</v>
      </c>
      <c r="B113"/>
      <c r="C113" s="20">
        <f>SUM(C105:C112)</f>
        <v>1723370.7800000124</v>
      </c>
      <c r="D113" s="20">
        <f t="shared" ref="D113:E113" si="14">SUM(D105:D112)</f>
        <v>17264728.474040054</v>
      </c>
      <c r="E113" s="20">
        <f t="shared" si="14"/>
        <v>43633232.028261259</v>
      </c>
    </row>
    <row r="114" spans="1:6">
      <c r="B114"/>
      <c r="C114" s="20"/>
      <c r="D114" s="20"/>
      <c r="E114" s="20"/>
    </row>
    <row r="115" spans="1:6" ht="57.6">
      <c r="A115" t="s">
        <v>77</v>
      </c>
      <c r="B115"/>
      <c r="C115" t="str">
        <f>+C79</f>
        <v>FY 2010</v>
      </c>
      <c r="D115" t="s">
        <v>2</v>
      </c>
      <c r="E115" t="s">
        <v>3</v>
      </c>
      <c r="F115" s="119" t="s">
        <v>78</v>
      </c>
    </row>
    <row r="116" spans="1:6">
      <c r="A116" t="s">
        <v>41</v>
      </c>
      <c r="B116"/>
      <c r="C116" s="24">
        <f>+C105/ASU!$C$38/100</f>
        <v>4.8832073267661875E-3</v>
      </c>
      <c r="D116" s="24">
        <f>+D105/ASU!$C$38/100</f>
        <v>4.8919970999542525E-2</v>
      </c>
      <c r="E116" s="24">
        <f>+E105/ASU!$C$38/100</f>
        <v>0.12363568003101989</v>
      </c>
      <c r="F116" s="118">
        <f>+E116-D116</f>
        <v>7.4715709031477368E-2</v>
      </c>
    </row>
    <row r="117" spans="1:6">
      <c r="A117" t="s">
        <v>43</v>
      </c>
      <c r="B117"/>
      <c r="C117" s="24">
        <f>+C106/DSU!$C$38/100</f>
        <v>5.5646526206695468E-3</v>
      </c>
      <c r="D117" s="24">
        <f>+D106/DSU!$C$38/100</f>
        <v>5.5746689953868195E-2</v>
      </c>
      <c r="E117" s="24">
        <f>+E106/DSU!$C$38/100</f>
        <v>0.1408888799625283</v>
      </c>
      <c r="F117" s="118">
        <f t="shared" ref="F117:F123" si="15">+E117-D117</f>
        <v>8.5142190008660107E-2</v>
      </c>
    </row>
    <row r="118" spans="1:6">
      <c r="A118" t="s">
        <v>44</v>
      </c>
      <c r="B118"/>
      <c r="C118" s="24">
        <f>+C107/JSU!$C$38/100</f>
        <v>4.6485973273376205E-3</v>
      </c>
      <c r="D118" s="24">
        <f>+D107/JSU!$C$38/100</f>
        <v>4.6569648025269972E-2</v>
      </c>
      <c r="E118" s="24">
        <f>+E107/JSU!$C$38/100</f>
        <v>0.11769569737609493</v>
      </c>
      <c r="F118" s="118">
        <f t="shared" si="15"/>
        <v>7.1126049350824963E-2</v>
      </c>
    </row>
    <row r="119" spans="1:6">
      <c r="A119" t="s">
        <v>45</v>
      </c>
      <c r="B119"/>
      <c r="C119" s="24">
        <f>+C108/MSU!$C$38/100</f>
        <v>4.661687261754123E-3</v>
      </c>
      <c r="D119" s="24">
        <f>+D108/MSU!$C$38/100</f>
        <v>4.670078298825308E-2</v>
      </c>
      <c r="E119" s="24">
        <f>+E108/MSU!$C$38/100</f>
        <v>0.11802711540421276</v>
      </c>
      <c r="F119" s="118">
        <f t="shared" si="15"/>
        <v>7.1326332415959676E-2</v>
      </c>
    </row>
    <row r="120" spans="1:6">
      <c r="A120" t="s">
        <v>46</v>
      </c>
      <c r="B120"/>
      <c r="C120" s="24">
        <f>+C109/MUW!$C$38/100</f>
        <v>5.8239143688097635E-3</v>
      </c>
      <c r="D120" s="24">
        <f>+D109/MUW!$C$38/100</f>
        <v>5.834397414673638E-2</v>
      </c>
      <c r="E120" s="24">
        <f>+E109/MUW!$C$38/100</f>
        <v>0.14745300890328508</v>
      </c>
      <c r="F120" s="118">
        <f t="shared" si="15"/>
        <v>8.9109034756548702E-2</v>
      </c>
    </row>
    <row r="121" spans="1:6">
      <c r="A121" t="s">
        <v>47</v>
      </c>
      <c r="B121"/>
      <c r="C121" s="24">
        <f>+C110/MVSU!$C$38/100</f>
        <v>4.5650841753125167E-3</v>
      </c>
      <c r="D121" s="24">
        <f>+D110/MVSU!$C$38/100</f>
        <v>4.5733013268282087E-2</v>
      </c>
      <c r="E121" s="24">
        <f>+E110/MVSU!$C$38/100</f>
        <v>0.11558126629602042</v>
      </c>
      <c r="F121" s="118">
        <f t="shared" si="15"/>
        <v>6.9848253027738338E-2</v>
      </c>
    </row>
    <row r="122" spans="1:6">
      <c r="A122" t="s">
        <v>48</v>
      </c>
      <c r="B122"/>
      <c r="C122" s="24">
        <f>+C111/UM!$C$38/100</f>
        <v>3.8521675040448749E-3</v>
      </c>
      <c r="D122" s="24">
        <f>+D111/UM!$C$38/100</f>
        <v>3.8591014055521046E-2</v>
      </c>
      <c r="E122" s="24">
        <f>+E111/UM!$C$38/100</f>
        <v>9.7531257037858976E-2</v>
      </c>
      <c r="F122" s="118">
        <f t="shared" si="15"/>
        <v>5.894024298233793E-2</v>
      </c>
    </row>
    <row r="123" spans="1:6">
      <c r="A123" t="s">
        <v>49</v>
      </c>
      <c r="B123"/>
      <c r="C123" s="24">
        <f>+C112/USM!$C$38/100</f>
        <v>4.5990704869741652E-3</v>
      </c>
      <c r="D123" s="24">
        <f>+D112/USM!$C$38/100</f>
        <v>4.6073488138505717E-2</v>
      </c>
      <c r="E123" s="24">
        <f>+E112/USM!$C$38/100</f>
        <v>0.11644175008727049</v>
      </c>
      <c r="F123" s="118">
        <f t="shared" si="15"/>
        <v>7.0368261948764776E-2</v>
      </c>
    </row>
    <row r="124" spans="1:6">
      <c r="A124" t="s">
        <v>40</v>
      </c>
      <c r="B124"/>
      <c r="C124" s="118">
        <f>AVERAGE(C116:C123)</f>
        <v>4.8247976339585996E-3</v>
      </c>
      <c r="D124" s="118">
        <f t="shared" ref="D124:E124" si="16">AVERAGE(D116:D123)</f>
        <v>4.8334822696997376E-2</v>
      </c>
      <c r="E124" s="118">
        <f t="shared" si="16"/>
        <v>0.12215683188728635</v>
      </c>
      <c r="F124" s="118">
        <f>AVERAGE(F116:F123)</f>
        <v>7.3822009190288987E-2</v>
      </c>
    </row>
    <row r="125" spans="1:6">
      <c r="B125"/>
      <c r="E125" s="118">
        <f>+E124-D124</f>
        <v>7.3822009190288973E-2</v>
      </c>
    </row>
    <row r="126" spans="1:6">
      <c r="B126"/>
    </row>
    <row r="127" spans="1:6">
      <c r="B127"/>
    </row>
    <row r="128" spans="1:6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4"/>
  <sheetViews>
    <sheetView workbookViewId="0">
      <selection activeCell="A36" sqref="A36"/>
    </sheetView>
  </sheetViews>
  <sheetFormatPr defaultRowHeight="14.4"/>
  <cols>
    <col min="1" max="1" width="14.44140625" customWidth="1"/>
    <col min="2" max="4" width="11.109375" customWidth="1"/>
    <col min="5" max="5" width="10.77734375" bestFit="1" customWidth="1"/>
    <col min="6" max="6" width="11.33203125" customWidth="1"/>
    <col min="7" max="7" width="14.5546875" bestFit="1" customWidth="1"/>
    <col min="8" max="9" width="11.109375" customWidth="1"/>
    <col min="10" max="10" width="12.109375" customWidth="1"/>
    <col min="11" max="11" width="12.5546875" bestFit="1" customWidth="1"/>
    <col min="12" max="12" width="10.88671875" customWidth="1"/>
    <col min="13" max="13" width="10.5546875" bestFit="1" customWidth="1"/>
    <col min="14" max="14" width="11.21875" customWidth="1"/>
    <col min="15" max="15" width="12.21875" bestFit="1" customWidth="1"/>
    <col min="16" max="16" width="10.5546875" bestFit="1" customWidth="1"/>
  </cols>
  <sheetData>
    <row r="1" spans="1:18" ht="18.600000000000001" thickBot="1">
      <c r="A1" s="97"/>
      <c r="B1" s="98"/>
      <c r="C1" s="98"/>
      <c r="D1" s="98"/>
      <c r="E1" s="104" t="s">
        <v>1</v>
      </c>
      <c r="F1" s="106" t="s">
        <v>2</v>
      </c>
      <c r="G1" s="105" t="s">
        <v>3</v>
      </c>
      <c r="H1" s="42"/>
    </row>
    <row r="2" spans="1:18" s="37" customFormat="1" ht="21.6" thickBot="1">
      <c r="A2" s="226" t="s">
        <v>70</v>
      </c>
      <c r="B2" s="227"/>
      <c r="C2" s="227"/>
      <c r="D2" s="228"/>
      <c r="E2" s="99">
        <v>-2.1999999999999999E-2</v>
      </c>
      <c r="F2" s="100">
        <v>0</v>
      </c>
      <c r="G2" s="101">
        <v>0</v>
      </c>
      <c r="H2" s="93"/>
      <c r="I2"/>
      <c r="J2"/>
      <c r="K2"/>
      <c r="L2"/>
      <c r="M2"/>
      <c r="N2"/>
      <c r="O2"/>
      <c r="P2"/>
      <c r="Q2"/>
      <c r="R2"/>
    </row>
    <row r="3" spans="1:18" s="37" customFormat="1" ht="21.6" thickBot="1">
      <c r="A3" s="226" t="s">
        <v>71</v>
      </c>
      <c r="B3" s="227"/>
      <c r="C3" s="227"/>
      <c r="D3" s="228"/>
      <c r="E3" s="102">
        <v>0</v>
      </c>
      <c r="F3" s="102">
        <v>0</v>
      </c>
      <c r="G3" s="102">
        <v>0</v>
      </c>
      <c r="H3" s="93"/>
      <c r="I3"/>
      <c r="J3"/>
      <c r="K3"/>
      <c r="L3"/>
      <c r="M3"/>
      <c r="N3"/>
      <c r="O3"/>
      <c r="P3"/>
      <c r="Q3"/>
      <c r="R3"/>
    </row>
    <row r="4" spans="1:18" ht="27" customHeight="1" thickBot="1">
      <c r="A4" s="206" t="s">
        <v>72</v>
      </c>
      <c r="B4" s="207"/>
      <c r="C4" s="207"/>
      <c r="D4" s="208"/>
      <c r="E4" s="103">
        <f>+Summary!J61</f>
        <v>0</v>
      </c>
      <c r="F4" s="103">
        <f>+Summary!J62</f>
        <v>0</v>
      </c>
      <c r="G4" s="103">
        <f>+Summary!J63</f>
        <v>0</v>
      </c>
      <c r="H4" s="43"/>
    </row>
    <row r="5" spans="1:18" ht="27" customHeight="1" thickBot="1">
      <c r="A5" s="209" t="s">
        <v>88</v>
      </c>
      <c r="B5" s="210"/>
      <c r="C5" s="210"/>
      <c r="D5" s="211"/>
      <c r="E5" s="135">
        <v>8.0000000000000002E-3</v>
      </c>
      <c r="F5" s="136">
        <v>1.2E-2</v>
      </c>
      <c r="G5" s="137">
        <v>0.03</v>
      </c>
      <c r="H5" s="43"/>
    </row>
    <row r="6" spans="1:18" ht="28.8" customHeight="1"/>
    <row r="7" spans="1:18" ht="19.8" customHeight="1">
      <c r="B7" t="s">
        <v>1</v>
      </c>
      <c r="C7" t="s">
        <v>2</v>
      </c>
      <c r="D7" t="s">
        <v>3</v>
      </c>
    </row>
    <row r="8" spans="1:18" ht="20.399999999999999" customHeight="1"/>
    <row r="9" spans="1:18" ht="13.8" hidden="1" customHeight="1"/>
    <row r="10" spans="1:18" ht="13.8" hidden="1" customHeight="1"/>
    <row r="11" spans="1:18" ht="13.8" hidden="1" customHeight="1"/>
    <row r="12" spans="1:18" ht="13.8" hidden="1" customHeight="1"/>
    <row r="13" spans="1:18" ht="13.8" hidden="1" customHeight="1"/>
    <row r="14" spans="1:18" ht="13.8" hidden="1" customHeight="1"/>
    <row r="15" spans="1:18" ht="13.8" hidden="1" customHeight="1"/>
    <row r="16" spans="1:18" ht="13.8" hidden="1" customHeight="1" thickBot="1"/>
    <row r="17" hidden="1"/>
    <row r="19" hidden="1"/>
    <row r="23" hidden="1"/>
    <row r="24" hidden="1"/>
    <row r="25" hidden="1"/>
    <row r="26" hidden="1"/>
    <row r="27" hidden="1"/>
    <row r="28" hidden="1"/>
    <row r="29" hidden="1"/>
    <row r="30" hidden="1"/>
    <row r="31" ht="15.6" hidden="1" customHeight="1"/>
    <row r="32" hidden="1"/>
    <row r="33" hidden="1"/>
    <row r="34" hidden="1"/>
    <row r="35" hidden="1"/>
    <row r="36" ht="36.6" customHeight="1"/>
    <row r="51" spans="6:8">
      <c r="F51" s="38"/>
      <c r="G51" s="38"/>
      <c r="H51" s="38"/>
    </row>
    <row r="52" spans="6:8">
      <c r="F52" s="38"/>
      <c r="G52" s="38"/>
      <c r="H52" s="38"/>
    </row>
    <row r="53" spans="6:8">
      <c r="F53" s="38"/>
      <c r="G53" s="38"/>
      <c r="H53" s="38"/>
    </row>
    <row r="54" spans="6:8">
      <c r="F54" s="38"/>
      <c r="G54" s="38"/>
      <c r="H54" s="38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6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3" sqref="A3"/>
      <selection pane="bottomRight" sqref="A1:H1"/>
    </sheetView>
  </sheetViews>
  <sheetFormatPr defaultColWidth="32.5546875" defaultRowHeight="12"/>
  <cols>
    <col min="1" max="1" width="32.5546875" style="38"/>
    <col min="2" max="2" width="12.5546875" style="38" customWidth="1"/>
    <col min="3" max="3" width="14.33203125" style="38" customWidth="1"/>
    <col min="4" max="4" width="14" style="38" customWidth="1"/>
    <col min="5" max="5" width="1.33203125" style="38" customWidth="1"/>
    <col min="6" max="6" width="13.6640625" style="38" customWidth="1"/>
    <col min="7" max="7" width="13.88671875" style="38" customWidth="1"/>
    <col min="8" max="8" width="14.44140625" style="38" customWidth="1"/>
    <col min="9" max="13" width="14.88671875" style="38" hidden="1" customWidth="1"/>
    <col min="14" max="28" width="13.33203125" style="38" hidden="1" customWidth="1"/>
    <col min="29" max="29" width="16.77734375" style="38" hidden="1" customWidth="1"/>
    <col min="30" max="31" width="15.5546875" style="38" hidden="1" customWidth="1"/>
    <col min="32" max="34" width="15.5546875" style="38" customWidth="1"/>
    <col min="35" max="16384" width="32.5546875" style="38"/>
  </cols>
  <sheetData>
    <row r="1" spans="1:29" ht="14.4">
      <c r="A1" s="229" t="s">
        <v>148</v>
      </c>
      <c r="B1" s="229"/>
      <c r="C1" s="229"/>
      <c r="D1" s="229"/>
      <c r="E1" s="229"/>
      <c r="F1" s="229"/>
      <c r="G1" s="229"/>
      <c r="H1" s="229"/>
    </row>
    <row r="2" spans="1:29" ht="14.4">
      <c r="A2" s="229" t="s">
        <v>149</v>
      </c>
      <c r="B2" s="229"/>
      <c r="C2" s="229"/>
      <c r="D2" s="229"/>
      <c r="E2" s="229"/>
      <c r="F2" s="229"/>
      <c r="G2" s="229"/>
      <c r="H2" s="229"/>
    </row>
    <row r="3" spans="1:29" ht="14.4">
      <c r="A3" s="229" t="s">
        <v>150</v>
      </c>
      <c r="B3" s="229"/>
      <c r="C3" s="229"/>
      <c r="D3" s="229"/>
      <c r="E3" s="229"/>
      <c r="F3" s="229"/>
      <c r="G3" s="229"/>
      <c r="H3" s="229"/>
    </row>
    <row r="4" spans="1:29" ht="48">
      <c r="A4" s="167"/>
      <c r="B4" s="168" t="s">
        <v>129</v>
      </c>
      <c r="C4" s="169" t="s">
        <v>128</v>
      </c>
      <c r="D4" s="169" t="s">
        <v>130</v>
      </c>
      <c r="E4" s="169"/>
      <c r="F4" s="169" t="s">
        <v>132</v>
      </c>
      <c r="G4" s="169" t="s">
        <v>131</v>
      </c>
      <c r="H4" s="169" t="s">
        <v>135</v>
      </c>
      <c r="T4" s="38" t="s">
        <v>142</v>
      </c>
    </row>
    <row r="5" spans="1:29" ht="13.2">
      <c r="A5" s="150" t="s">
        <v>101</v>
      </c>
      <c r="B5" s="151"/>
      <c r="C5" s="152" t="s">
        <v>24</v>
      </c>
      <c r="D5" s="152"/>
      <c r="E5" s="152"/>
      <c r="F5" s="152"/>
      <c r="G5" s="152"/>
      <c r="H5" s="152"/>
      <c r="I5" s="153"/>
      <c r="J5" s="153"/>
      <c r="K5" s="153"/>
      <c r="L5" s="154" t="s">
        <v>24</v>
      </c>
      <c r="M5" s="153"/>
      <c r="N5" s="153"/>
      <c r="O5" s="155"/>
      <c r="P5" s="156"/>
      <c r="Q5" s="157"/>
      <c r="R5" s="158"/>
      <c r="S5" s="158"/>
      <c r="U5" s="38">
        <f>+Recap!E5</f>
        <v>2E-3</v>
      </c>
      <c r="V5" s="38">
        <f>+Recap!F5</f>
        <v>1.7999999999999999E-2</v>
      </c>
    </row>
    <row r="6" spans="1:29" ht="13.2">
      <c r="A6" s="159" t="s">
        <v>97</v>
      </c>
      <c r="B6" s="160">
        <f>'[1]2010'!H63</f>
        <v>8082703</v>
      </c>
      <c r="C6" s="160">
        <f>+K6+J6+I6</f>
        <v>2381443.676</v>
      </c>
      <c r="D6" s="160">
        <f>+B6+C6</f>
        <v>10464146.675999999</v>
      </c>
      <c r="E6" s="160"/>
      <c r="F6" s="160">
        <f>+W6</f>
        <v>205214.502404</v>
      </c>
      <c r="G6" s="160">
        <f>+B6+F6</f>
        <v>8287917.5024039997</v>
      </c>
      <c r="H6" s="160">
        <f>+G6-D6</f>
        <v>-2176229.1735959994</v>
      </c>
      <c r="I6" s="153">
        <v>1315820</v>
      </c>
      <c r="J6" s="153">
        <v>0</v>
      </c>
      <c r="K6" s="153">
        <v>1065623.676</v>
      </c>
      <c r="L6" s="154">
        <f>+B6+C6</f>
        <v>10464146.675999999</v>
      </c>
      <c r="M6" s="153"/>
      <c r="N6" s="153"/>
      <c r="O6" s="155">
        <f>SUM(B6:K6)</f>
        <v>29626639.859212</v>
      </c>
      <c r="P6" s="156">
        <f>O6-B6</f>
        <v>21543936.859212</v>
      </c>
      <c r="Q6" s="161">
        <f>P6/B6</f>
        <v>2.6654371513108921</v>
      </c>
      <c r="R6" s="158"/>
      <c r="S6" s="158"/>
      <c r="T6" s="188">
        <f>+'[2]page 2'!$D$84+'[2]page 2'!$D$85</f>
        <v>10242289</v>
      </c>
      <c r="U6" s="50">
        <f>+T6*Recap!$E$5</f>
        <v>20484.578000000001</v>
      </c>
      <c r="V6" s="50">
        <f>+(T6+U6)*Recap!$F$5</f>
        <v>184729.92440399999</v>
      </c>
      <c r="W6" s="172">
        <f>+U6+V6</f>
        <v>205214.502404</v>
      </c>
      <c r="Y6" s="38">
        <f>+T6*(1*U5)</f>
        <v>20484.578000000001</v>
      </c>
      <c r="Z6" s="188">
        <f>+Y6+T6</f>
        <v>10262773.578</v>
      </c>
      <c r="AA6" s="38">
        <f>+Z6*(1*V5)</f>
        <v>184729.92440399999</v>
      </c>
      <c r="AB6" s="188">
        <f>+AA6+Z6</f>
        <v>10447503.502404001</v>
      </c>
      <c r="AC6" s="188">
        <f>+AB6-T6</f>
        <v>205214.50240400061</v>
      </c>
    </row>
    <row r="7" spans="1:29" ht="13.2">
      <c r="A7" s="159" t="s">
        <v>98</v>
      </c>
      <c r="B7" s="164">
        <f>'[1]2010'!H70</f>
        <v>31871113</v>
      </c>
      <c r="C7" s="164">
        <f>+K7+J7+I7</f>
        <v>18506260</v>
      </c>
      <c r="D7" s="164">
        <f t="shared" ref="D7:D39" si="0">+B7+C7</f>
        <v>50377373</v>
      </c>
      <c r="E7" s="164"/>
      <c r="F7" s="164">
        <f t="shared" ref="F7:F39" si="1">+W7</f>
        <v>643654.31607599999</v>
      </c>
      <c r="G7" s="164">
        <f t="shared" ref="G7:G39" si="2">+B7+F7</f>
        <v>32514767.316075999</v>
      </c>
      <c r="H7" s="164">
        <f t="shared" ref="H7:H39" si="3">+G7-D7</f>
        <v>-17862605.683924001</v>
      </c>
      <c r="I7" s="162">
        <v>18506260</v>
      </c>
      <c r="J7" s="162">
        <v>0</v>
      </c>
      <c r="K7" s="162">
        <v>0</v>
      </c>
      <c r="L7" s="154">
        <f>+B7+C7</f>
        <v>50377373</v>
      </c>
      <c r="M7" s="162"/>
      <c r="N7" s="162"/>
      <c r="O7" s="155">
        <f>SUM(B7:K7)</f>
        <v>134556821.948228</v>
      </c>
      <c r="P7" s="156">
        <f>O7-B7</f>
        <v>102685708.948228</v>
      </c>
      <c r="Q7" s="161">
        <f>P7/B7</f>
        <v>3.2219053331531913</v>
      </c>
      <c r="R7" s="158"/>
      <c r="S7" s="158"/>
      <c r="T7" s="188">
        <f>+'[2]page 2'!$D$89</f>
        <v>32124891</v>
      </c>
      <c r="U7" s="50">
        <f>+T7*Recap!$E$5</f>
        <v>64249.781999999999</v>
      </c>
      <c r="V7" s="50">
        <f>+(T7+U7)*Recap!$F$5</f>
        <v>579404.53407599998</v>
      </c>
      <c r="W7" s="172">
        <f t="shared" ref="W7:W63" si="4">+U7+V7</f>
        <v>643654.31607599999</v>
      </c>
    </row>
    <row r="8" spans="1:29" ht="13.2">
      <c r="A8" s="159"/>
      <c r="B8" s="164"/>
      <c r="C8" s="164" t="s">
        <v>24</v>
      </c>
      <c r="D8" s="164" t="s">
        <v>24</v>
      </c>
      <c r="E8" s="164"/>
      <c r="F8" s="164" t="s">
        <v>24</v>
      </c>
      <c r="G8" s="164" t="s">
        <v>24</v>
      </c>
      <c r="H8" s="164" t="s">
        <v>24</v>
      </c>
      <c r="I8" s="153"/>
      <c r="J8" s="153"/>
      <c r="K8" s="153"/>
      <c r="L8" s="154" t="s">
        <v>24</v>
      </c>
      <c r="M8" s="153"/>
      <c r="N8" s="153"/>
      <c r="O8" s="155"/>
      <c r="P8" s="156"/>
      <c r="Q8" s="157"/>
      <c r="R8" s="158"/>
      <c r="S8" s="158"/>
      <c r="U8" s="50">
        <f>+T8*Recap!$E$5</f>
        <v>0</v>
      </c>
      <c r="V8" s="50">
        <f>+(T8+U8)*Recap!$F$5</f>
        <v>0</v>
      </c>
      <c r="W8" s="172">
        <f t="shared" si="4"/>
        <v>0</v>
      </c>
    </row>
    <row r="9" spans="1:29" ht="13.2">
      <c r="A9" s="150" t="s">
        <v>102</v>
      </c>
      <c r="B9" s="164"/>
      <c r="C9" s="164" t="s">
        <v>24</v>
      </c>
      <c r="D9" s="164" t="s">
        <v>24</v>
      </c>
      <c r="E9" s="164"/>
      <c r="F9" s="164" t="s">
        <v>24</v>
      </c>
      <c r="G9" s="164" t="s">
        <v>24</v>
      </c>
      <c r="H9" s="164" t="s">
        <v>24</v>
      </c>
      <c r="I9" s="153"/>
      <c r="J9" s="153"/>
      <c r="K9" s="153"/>
      <c r="L9" s="154" t="s">
        <v>24</v>
      </c>
      <c r="M9" s="153"/>
      <c r="N9" s="153"/>
      <c r="O9" s="155"/>
      <c r="P9" s="156"/>
      <c r="Q9" s="157"/>
      <c r="R9" s="158"/>
      <c r="S9" s="158"/>
      <c r="U9" s="50">
        <f>+T9*Recap!$E$5</f>
        <v>0</v>
      </c>
      <c r="V9" s="50">
        <f>+(T9+U9)*Recap!$F$5</f>
        <v>0</v>
      </c>
      <c r="W9" s="172">
        <f t="shared" si="4"/>
        <v>0</v>
      </c>
    </row>
    <row r="10" spans="1:29" ht="13.2">
      <c r="A10" s="159" t="s">
        <v>103</v>
      </c>
      <c r="B10" s="164">
        <f>'[1]2010'!H13</f>
        <v>5607118</v>
      </c>
      <c r="C10" s="164">
        <f>+K10+J10+I10</f>
        <v>3086853.6120000002</v>
      </c>
      <c r="D10" s="164">
        <f t="shared" si="0"/>
        <v>8693971.6119999997</v>
      </c>
      <c r="E10" s="164"/>
      <c r="F10" s="164">
        <f t="shared" si="1"/>
        <v>112344.21624799998</v>
      </c>
      <c r="G10" s="164">
        <f t="shared" si="2"/>
        <v>5719462.216248</v>
      </c>
      <c r="H10" s="164">
        <f t="shared" si="3"/>
        <v>-2974509.3957519997</v>
      </c>
      <c r="I10" s="153">
        <f>7514506-B10</f>
        <v>1907388</v>
      </c>
      <c r="J10" s="153">
        <v>0</v>
      </c>
      <c r="K10" s="153">
        <v>1179465.6120000002</v>
      </c>
      <c r="L10" s="154">
        <f>+B10+C10</f>
        <v>8693971.6119999997</v>
      </c>
      <c r="M10" s="153"/>
      <c r="N10" s="153"/>
      <c r="O10" s="155">
        <f>SUM(B10:K10)</f>
        <v>23332093.872743998</v>
      </c>
      <c r="P10" s="156">
        <f>O10-B10</f>
        <v>17724975.872743998</v>
      </c>
      <c r="Q10" s="161">
        <f>P10/B10</f>
        <v>3.1611562076532005</v>
      </c>
      <c r="R10" s="158"/>
      <c r="S10" s="158"/>
      <c r="T10" s="188">
        <f>+'[2]page 2'!$D$12</f>
        <v>5607118</v>
      </c>
      <c r="U10" s="50">
        <f>+T10*Recap!$E$5</f>
        <v>11214.236000000001</v>
      </c>
      <c r="V10" s="50">
        <f>+(T10+U10)*Recap!$F$5</f>
        <v>101129.98024799998</v>
      </c>
      <c r="W10" s="172">
        <f t="shared" si="4"/>
        <v>112344.21624799998</v>
      </c>
    </row>
    <row r="11" spans="1:29" ht="13.2">
      <c r="A11" s="159"/>
      <c r="B11" s="164"/>
      <c r="C11" s="164" t="s">
        <v>25</v>
      </c>
      <c r="D11" s="164" t="s">
        <v>24</v>
      </c>
      <c r="E11" s="164"/>
      <c r="F11" s="164" t="s">
        <v>24</v>
      </c>
      <c r="G11" s="164" t="s">
        <v>24</v>
      </c>
      <c r="H11" s="164" t="s">
        <v>24</v>
      </c>
      <c r="I11" s="153"/>
      <c r="J11" s="153"/>
      <c r="K11" s="153"/>
      <c r="L11" s="154" t="s">
        <v>24</v>
      </c>
      <c r="M11" s="153"/>
      <c r="N11" s="153"/>
      <c r="O11" s="155"/>
      <c r="P11" s="156"/>
      <c r="Q11" s="157"/>
      <c r="R11" s="158"/>
      <c r="S11" s="158"/>
      <c r="U11" s="50">
        <f>+T11*Recap!$E$5</f>
        <v>0</v>
      </c>
      <c r="V11" s="50">
        <f>+(T11+U11)*Recap!$F$5</f>
        <v>0</v>
      </c>
      <c r="W11" s="172">
        <f t="shared" si="4"/>
        <v>0</v>
      </c>
    </row>
    <row r="12" spans="1:29" ht="13.2">
      <c r="A12" s="150" t="s">
        <v>104</v>
      </c>
      <c r="B12" s="164"/>
      <c r="C12" s="164" t="s">
        <v>24</v>
      </c>
      <c r="D12" s="164" t="s">
        <v>24</v>
      </c>
      <c r="E12" s="164"/>
      <c r="F12" s="164" t="s">
        <v>24</v>
      </c>
      <c r="G12" s="164" t="s">
        <v>24</v>
      </c>
      <c r="H12" s="164" t="s">
        <v>24</v>
      </c>
      <c r="I12" s="153"/>
      <c r="J12" s="153"/>
      <c r="K12" s="153"/>
      <c r="L12" s="154" t="s">
        <v>24</v>
      </c>
      <c r="M12" s="153"/>
      <c r="N12" s="153"/>
      <c r="O12" s="155"/>
      <c r="P12" s="156"/>
      <c r="Q12" s="157"/>
      <c r="R12" s="158"/>
      <c r="S12" s="158"/>
      <c r="U12" s="50">
        <f>+T12*Recap!$E$5</f>
        <v>0</v>
      </c>
      <c r="V12" s="50">
        <f>+(T12+U12)*Recap!$F$5</f>
        <v>0</v>
      </c>
      <c r="W12" s="172">
        <f t="shared" si="4"/>
        <v>0</v>
      </c>
    </row>
    <row r="13" spans="1:29" ht="13.2">
      <c r="A13" s="159" t="s">
        <v>105</v>
      </c>
      <c r="B13" s="164">
        <f>'[1]2010'!H20</f>
        <v>536212</v>
      </c>
      <c r="C13" s="164">
        <f>+K13+J13+I13</f>
        <v>77064</v>
      </c>
      <c r="D13" s="164">
        <f t="shared" si="0"/>
        <v>613276</v>
      </c>
      <c r="E13" s="164"/>
      <c r="F13" s="164">
        <f t="shared" si="1"/>
        <v>10743.543632000001</v>
      </c>
      <c r="G13" s="164">
        <f t="shared" si="2"/>
        <v>546955.54363199999</v>
      </c>
      <c r="H13" s="164">
        <f t="shared" si="3"/>
        <v>-66320.456368000014</v>
      </c>
      <c r="I13" s="153">
        <f>613276-B13</f>
        <v>77064</v>
      </c>
      <c r="J13" s="153">
        <v>0</v>
      </c>
      <c r="K13" s="153">
        <v>0</v>
      </c>
      <c r="L13" s="154">
        <f>+B13+C13</f>
        <v>613276</v>
      </c>
      <c r="M13" s="153"/>
      <c r="N13" s="153"/>
      <c r="O13" s="155">
        <f>SUM(B13:K13)</f>
        <v>1794994.630896</v>
      </c>
      <c r="P13" s="156">
        <f>O13-B13</f>
        <v>1258782.630896</v>
      </c>
      <c r="Q13" s="161">
        <f>P13/B13</f>
        <v>2.3475465504240858</v>
      </c>
      <c r="R13" s="158"/>
      <c r="S13" s="158"/>
      <c r="T13" s="188">
        <f>'[2]page 2'!$D$23</f>
        <v>536212</v>
      </c>
      <c r="U13" s="50">
        <f>+T13*Recap!$E$5</f>
        <v>1072.424</v>
      </c>
      <c r="V13" s="50">
        <f>+(T13+U13)*Recap!$F$5</f>
        <v>9671.1196319999999</v>
      </c>
      <c r="W13" s="172">
        <f t="shared" si="4"/>
        <v>10743.543632000001</v>
      </c>
    </row>
    <row r="14" spans="1:29" ht="13.2">
      <c r="A14" s="159"/>
      <c r="B14" s="64"/>
      <c r="C14" s="164" t="s">
        <v>24</v>
      </c>
      <c r="D14" s="164" t="s">
        <v>24</v>
      </c>
      <c r="E14" s="64"/>
      <c r="F14" s="164" t="s">
        <v>24</v>
      </c>
      <c r="G14" s="164" t="s">
        <v>24</v>
      </c>
      <c r="H14" s="164" t="s">
        <v>24</v>
      </c>
      <c r="M14" s="153"/>
      <c r="N14" s="153"/>
      <c r="O14" s="155"/>
      <c r="P14" s="156"/>
      <c r="Q14" s="157"/>
      <c r="R14" s="158"/>
      <c r="S14" s="158"/>
      <c r="U14" s="50">
        <f>+T14*Recap!$E$5</f>
        <v>0</v>
      </c>
      <c r="V14" s="50">
        <f>+(T14+U14)*Recap!$F$5</f>
        <v>0</v>
      </c>
      <c r="W14" s="172">
        <f t="shared" si="4"/>
        <v>0</v>
      </c>
    </row>
    <row r="15" spans="1:29" ht="13.2">
      <c r="A15" s="150" t="s">
        <v>106</v>
      </c>
      <c r="B15" s="64"/>
      <c r="C15" s="164" t="s">
        <v>25</v>
      </c>
      <c r="D15" s="164" t="s">
        <v>24</v>
      </c>
      <c r="E15" s="64"/>
      <c r="F15" s="164" t="s">
        <v>24</v>
      </c>
      <c r="G15" s="164" t="s">
        <v>24</v>
      </c>
      <c r="H15" s="164" t="s">
        <v>24</v>
      </c>
      <c r="M15" s="153"/>
      <c r="N15" s="153"/>
      <c r="O15" s="155"/>
      <c r="P15" s="156"/>
      <c r="Q15" s="157"/>
      <c r="R15" s="158"/>
      <c r="S15" s="158"/>
      <c r="U15" s="50">
        <f>+T15*Recap!$E$5</f>
        <v>0</v>
      </c>
      <c r="V15" s="50">
        <f>+(T15+U15)*Recap!$F$5</f>
        <v>0</v>
      </c>
      <c r="W15" s="172">
        <f t="shared" si="4"/>
        <v>0</v>
      </c>
    </row>
    <row r="16" spans="1:29" ht="13.2">
      <c r="A16" s="159" t="s">
        <v>99</v>
      </c>
      <c r="B16" s="164">
        <f>'[1]2010'!H24</f>
        <v>3809266</v>
      </c>
      <c r="C16" s="164">
        <f t="shared" ref="C16:C24" si="5">+K16+J16+I16</f>
        <v>838651</v>
      </c>
      <c r="D16" s="164">
        <f t="shared" si="0"/>
        <v>4647917</v>
      </c>
      <c r="E16" s="164"/>
      <c r="F16" s="164">
        <f t="shared" si="1"/>
        <v>76322.453576</v>
      </c>
      <c r="G16" s="164">
        <f t="shared" si="2"/>
        <v>3885588.4535759999</v>
      </c>
      <c r="H16" s="164">
        <f t="shared" si="3"/>
        <v>-762328.54642400006</v>
      </c>
      <c r="I16" s="153">
        <f>4647917-B16</f>
        <v>838651</v>
      </c>
      <c r="J16" s="153">
        <v>0</v>
      </c>
      <c r="K16" s="153">
        <v>0</v>
      </c>
      <c r="L16" s="154">
        <f t="shared" ref="L16:L24" si="6">+B16+C16</f>
        <v>4647917</v>
      </c>
      <c r="M16" s="153"/>
      <c r="N16" s="153"/>
      <c r="O16" s="155">
        <f t="shared" ref="O16:O24" si="7">SUM(B16:K16)</f>
        <v>13334067.360728001</v>
      </c>
      <c r="P16" s="156">
        <f t="shared" ref="P16:P24" si="8">O16-B16</f>
        <v>9524801.3607280012</v>
      </c>
      <c r="Q16" s="161">
        <f t="shared" ref="Q16:Q24" si="9">P16/B16</f>
        <v>2.5004295737625046</v>
      </c>
      <c r="R16" s="158"/>
      <c r="S16" s="158"/>
      <c r="T16" s="188">
        <f>+'[2]page 2'!D29</f>
        <v>3809266</v>
      </c>
      <c r="U16" s="50">
        <f>+T16*Recap!$E$5</f>
        <v>7618.5320000000002</v>
      </c>
      <c r="V16" s="50">
        <f>+(T16+U16)*Recap!$F$5</f>
        <v>68703.921575999993</v>
      </c>
      <c r="W16" s="172">
        <f t="shared" si="4"/>
        <v>76322.453576</v>
      </c>
    </row>
    <row r="17" spans="1:23" ht="13.2">
      <c r="A17" s="159" t="s">
        <v>107</v>
      </c>
      <c r="B17" s="164">
        <f>'[1]2010'!H25</f>
        <v>1923271</v>
      </c>
      <c r="C17" s="164">
        <f t="shared" si="5"/>
        <v>700371</v>
      </c>
      <c r="D17" s="164">
        <f t="shared" si="0"/>
        <v>2623642</v>
      </c>
      <c r="E17" s="164"/>
      <c r="F17" s="164">
        <f t="shared" si="1"/>
        <v>48272.614583999995</v>
      </c>
      <c r="G17" s="164">
        <f t="shared" si="2"/>
        <v>1971543.6145840001</v>
      </c>
      <c r="H17" s="164">
        <f t="shared" si="3"/>
        <v>-652098.38541599992</v>
      </c>
      <c r="I17" s="153">
        <f>2623642-B17</f>
        <v>700371</v>
      </c>
      <c r="J17" s="153">
        <v>0</v>
      </c>
      <c r="K17" s="153">
        <v>0</v>
      </c>
      <c r="L17" s="154">
        <f t="shared" si="6"/>
        <v>2623642</v>
      </c>
      <c r="M17" s="153"/>
      <c r="N17" s="153"/>
      <c r="O17" s="155">
        <f t="shared" si="7"/>
        <v>7315372.8437519995</v>
      </c>
      <c r="P17" s="156">
        <f t="shared" si="8"/>
        <v>5392101.8437519995</v>
      </c>
      <c r="Q17" s="161">
        <f t="shared" si="9"/>
        <v>2.80361001842798</v>
      </c>
      <c r="R17" s="158"/>
      <c r="S17" s="158"/>
      <c r="T17" s="188">
        <f>+'[2]page 2'!D30</f>
        <v>2409294</v>
      </c>
      <c r="U17" s="50">
        <f>+T17*Recap!$E$5</f>
        <v>4818.5879999999997</v>
      </c>
      <c r="V17" s="50">
        <f>+(T17+U17)*Recap!$F$5</f>
        <v>43454.026583999999</v>
      </c>
      <c r="W17" s="172">
        <f t="shared" si="4"/>
        <v>48272.614583999995</v>
      </c>
    </row>
    <row r="18" spans="1:23" ht="13.2">
      <c r="A18" s="159" t="s">
        <v>100</v>
      </c>
      <c r="B18" s="164">
        <f>'[1]2010'!H26</f>
        <v>128331</v>
      </c>
      <c r="C18" s="164">
        <f t="shared" si="5"/>
        <v>19473</v>
      </c>
      <c r="D18" s="164">
        <f t="shared" si="0"/>
        <v>147804</v>
      </c>
      <c r="E18" s="164"/>
      <c r="F18" s="164">
        <f t="shared" si="1"/>
        <v>2571.2399159999995</v>
      </c>
      <c r="G18" s="164">
        <f t="shared" si="2"/>
        <v>130902.23991600001</v>
      </c>
      <c r="H18" s="164">
        <f t="shared" si="3"/>
        <v>-16901.760083999994</v>
      </c>
      <c r="I18" s="153">
        <f>147804-B18</f>
        <v>19473</v>
      </c>
      <c r="J18" s="153">
        <v>0</v>
      </c>
      <c r="K18" s="153">
        <v>0</v>
      </c>
      <c r="L18" s="154">
        <f t="shared" si="6"/>
        <v>147804</v>
      </c>
      <c r="M18" s="153"/>
      <c r="N18" s="153"/>
      <c r="O18" s="155">
        <f t="shared" si="7"/>
        <v>431652.71974799997</v>
      </c>
      <c r="P18" s="156">
        <f t="shared" si="8"/>
        <v>303321.71974799997</v>
      </c>
      <c r="Q18" s="161">
        <f t="shared" si="9"/>
        <v>2.3635888425088245</v>
      </c>
      <c r="R18" s="158"/>
      <c r="S18" s="158"/>
      <c r="T18" s="188">
        <f>+'[2]page 2'!D31</f>
        <v>128331</v>
      </c>
      <c r="U18" s="50">
        <f>+T18*Recap!$E$5</f>
        <v>256.66199999999998</v>
      </c>
      <c r="V18" s="50">
        <f>+(T18+U18)*Recap!$F$5</f>
        <v>2314.5779159999997</v>
      </c>
      <c r="W18" s="172">
        <f t="shared" si="4"/>
        <v>2571.2399159999995</v>
      </c>
    </row>
    <row r="19" spans="1:23" ht="13.2">
      <c r="A19" s="159" t="s">
        <v>108</v>
      </c>
      <c r="B19" s="164">
        <f>'[1]2010'!H27</f>
        <v>23740111</v>
      </c>
      <c r="C19" s="164">
        <f t="shared" si="5"/>
        <v>10444307.552999999</v>
      </c>
      <c r="D19" s="164">
        <f t="shared" si="0"/>
        <v>34184418.553000003</v>
      </c>
      <c r="E19" s="164"/>
      <c r="F19" s="164">
        <f t="shared" si="1"/>
        <v>604124.77073999995</v>
      </c>
      <c r="G19" s="164">
        <f t="shared" si="2"/>
        <v>24344235.770739999</v>
      </c>
      <c r="H19" s="164">
        <f t="shared" si="3"/>
        <v>-9840182.7822600044</v>
      </c>
      <c r="I19" s="153">
        <f>27127814-B19</f>
        <v>3387703</v>
      </c>
      <c r="J19" s="153">
        <v>0</v>
      </c>
      <c r="K19" s="153">
        <v>7056604.5530000003</v>
      </c>
      <c r="L19" s="154">
        <f t="shared" si="6"/>
        <v>34184418.553000003</v>
      </c>
      <c r="M19" s="153"/>
      <c r="N19" s="153"/>
      <c r="O19" s="155">
        <f t="shared" si="7"/>
        <v>93921322.418220013</v>
      </c>
      <c r="P19" s="156">
        <f t="shared" si="8"/>
        <v>70181211.418220013</v>
      </c>
      <c r="Q19" s="161">
        <f t="shared" si="9"/>
        <v>2.9562292871427607</v>
      </c>
      <c r="R19" s="158"/>
      <c r="S19" s="158"/>
      <c r="T19" s="188">
        <f>+'[2]page 2'!D32</f>
        <v>30151965</v>
      </c>
      <c r="U19" s="50">
        <f>+T19*Recap!$E$5</f>
        <v>60303.93</v>
      </c>
      <c r="V19" s="50">
        <f>+(T19+U19)*Recap!$F$5</f>
        <v>543820.8407399999</v>
      </c>
      <c r="W19" s="172">
        <f t="shared" si="4"/>
        <v>604124.77073999995</v>
      </c>
    </row>
    <row r="20" spans="1:23" ht="13.2">
      <c r="A20" s="159" t="s">
        <v>109</v>
      </c>
      <c r="B20" s="164">
        <f>'[1]2010'!H28</f>
        <v>29454127</v>
      </c>
      <c r="C20" s="164">
        <f t="shared" si="5"/>
        <v>4212922.875</v>
      </c>
      <c r="D20" s="164">
        <f t="shared" si="0"/>
        <v>33667049.875</v>
      </c>
      <c r="E20" s="164"/>
      <c r="F20" s="164">
        <f t="shared" si="1"/>
        <v>876105.75687999988</v>
      </c>
      <c r="G20" s="164">
        <f t="shared" si="2"/>
        <v>30330232.75688</v>
      </c>
      <c r="H20" s="164">
        <f t="shared" si="3"/>
        <v>-3336817.1181199998</v>
      </c>
      <c r="I20" s="153">
        <f>33663496-B20</f>
        <v>4209369</v>
      </c>
      <c r="J20" s="153">
        <v>0</v>
      </c>
      <c r="K20" s="153">
        <v>3553.875</v>
      </c>
      <c r="L20" s="154">
        <f t="shared" si="6"/>
        <v>33667049.875</v>
      </c>
      <c r="M20" s="153"/>
      <c r="N20" s="153"/>
      <c r="O20" s="155">
        <f t="shared" si="7"/>
        <v>99416544.020640001</v>
      </c>
      <c r="P20" s="156">
        <f t="shared" si="8"/>
        <v>69962417.020640001</v>
      </c>
      <c r="Q20" s="161">
        <f t="shared" si="9"/>
        <v>2.3753009899305453</v>
      </c>
      <c r="R20" s="158"/>
      <c r="S20" s="158"/>
      <c r="T20" s="188">
        <f>+'[2]page 2'!D33</f>
        <v>43726580</v>
      </c>
      <c r="U20" s="50">
        <f>+T20*Recap!$E$5</f>
        <v>87453.16</v>
      </c>
      <c r="V20" s="50">
        <f>+(T20+U20)*Recap!$F$5</f>
        <v>788652.59687999985</v>
      </c>
      <c r="W20" s="172">
        <f t="shared" si="4"/>
        <v>876105.75687999988</v>
      </c>
    </row>
    <row r="21" spans="1:23" ht="13.2">
      <c r="A21" s="159" t="s">
        <v>110</v>
      </c>
      <c r="B21" s="164">
        <f>'[1]2010'!H29</f>
        <v>6135116</v>
      </c>
      <c r="C21" s="164">
        <f t="shared" si="5"/>
        <v>1963818.8629999999</v>
      </c>
      <c r="D21" s="164">
        <f t="shared" si="0"/>
        <v>8098934.8629999999</v>
      </c>
      <c r="E21" s="164"/>
      <c r="F21" s="164">
        <f t="shared" si="1"/>
        <v>140668.06757599997</v>
      </c>
      <c r="G21" s="164">
        <f t="shared" si="2"/>
        <v>6275784.0675759995</v>
      </c>
      <c r="H21" s="164">
        <f t="shared" si="3"/>
        <v>-1823150.7954240004</v>
      </c>
      <c r="I21" s="153">
        <f>7081783-B21</f>
        <v>946667</v>
      </c>
      <c r="J21" s="153">
        <v>0</v>
      </c>
      <c r="K21" s="153">
        <v>1017151.863</v>
      </c>
      <c r="L21" s="154">
        <f t="shared" si="6"/>
        <v>8098934.8629999999</v>
      </c>
      <c r="M21" s="153"/>
      <c r="N21" s="153"/>
      <c r="O21" s="155">
        <f t="shared" si="7"/>
        <v>22754989.928728003</v>
      </c>
      <c r="P21" s="156">
        <f t="shared" si="8"/>
        <v>16619873.928728003</v>
      </c>
      <c r="Q21" s="161">
        <f t="shared" si="9"/>
        <v>2.7089746842159141</v>
      </c>
      <c r="R21" s="158"/>
      <c r="S21" s="158"/>
      <c r="T21" s="188">
        <f>+'[2]page 2'!D34</f>
        <v>7020766</v>
      </c>
      <c r="U21" s="50">
        <f>+T21*Recap!$E$5</f>
        <v>14041.532000000001</v>
      </c>
      <c r="V21" s="50">
        <f>+(T21+U21)*Recap!$F$5</f>
        <v>126626.53557599998</v>
      </c>
      <c r="W21" s="172">
        <f t="shared" si="4"/>
        <v>140668.06757599997</v>
      </c>
    </row>
    <row r="22" spans="1:23" ht="13.2">
      <c r="A22" s="159" t="s">
        <v>111</v>
      </c>
      <c r="B22" s="164">
        <f>'[1]2010'!H30</f>
        <v>17199548</v>
      </c>
      <c r="C22" s="164">
        <f t="shared" si="5"/>
        <v>6459968.21</v>
      </c>
      <c r="D22" s="164">
        <f t="shared" si="0"/>
        <v>23659516.210000001</v>
      </c>
      <c r="E22" s="164"/>
      <c r="F22" s="164">
        <f t="shared" si="1"/>
        <v>596378.51252799993</v>
      </c>
      <c r="G22" s="164">
        <f t="shared" si="2"/>
        <v>17795926.512527999</v>
      </c>
      <c r="H22" s="164">
        <f t="shared" si="3"/>
        <v>-5863589.6974720024</v>
      </c>
      <c r="I22" s="153">
        <f>19542035-B22</f>
        <v>2342487</v>
      </c>
      <c r="J22" s="153">
        <v>0</v>
      </c>
      <c r="K22" s="153">
        <v>4117481.21</v>
      </c>
      <c r="L22" s="154">
        <f t="shared" si="6"/>
        <v>23659516.210000001</v>
      </c>
      <c r="M22" s="153"/>
      <c r="N22" s="153"/>
      <c r="O22" s="155">
        <f t="shared" si="7"/>
        <v>66307715.957584001</v>
      </c>
      <c r="P22" s="156">
        <f t="shared" si="8"/>
        <v>49108167.957584001</v>
      </c>
      <c r="Q22" s="161">
        <f t="shared" si="9"/>
        <v>2.8552010760738598</v>
      </c>
      <c r="R22" s="158"/>
      <c r="S22" s="158"/>
      <c r="T22" s="188">
        <f>+'[2]page 2'!D35</f>
        <v>29765348</v>
      </c>
      <c r="U22" s="50">
        <f>+T22*Recap!$E$5</f>
        <v>59530.696000000004</v>
      </c>
      <c r="V22" s="50">
        <f>+(T22+U22)*Recap!$F$5</f>
        <v>536847.81652799994</v>
      </c>
      <c r="W22" s="172">
        <f t="shared" si="4"/>
        <v>596378.51252799993</v>
      </c>
    </row>
    <row r="23" spans="1:23" ht="13.2">
      <c r="A23" s="159" t="s">
        <v>112</v>
      </c>
      <c r="B23" s="164">
        <f>'[1]2010'!H31</f>
        <v>1087670</v>
      </c>
      <c r="C23" s="164">
        <f t="shared" si="5"/>
        <v>69737</v>
      </c>
      <c r="D23" s="164">
        <f t="shared" si="0"/>
        <v>1157407</v>
      </c>
      <c r="E23" s="164"/>
      <c r="F23" s="164">
        <f t="shared" si="1"/>
        <v>21792.556120000001</v>
      </c>
      <c r="G23" s="164">
        <f t="shared" si="2"/>
        <v>1109462.5561200001</v>
      </c>
      <c r="H23" s="164">
        <f t="shared" si="3"/>
        <v>-47944.443879999919</v>
      </c>
      <c r="I23" s="153">
        <f>1157407-B23</f>
        <v>69737</v>
      </c>
      <c r="J23" s="153">
        <v>0</v>
      </c>
      <c r="K23" s="153">
        <v>0</v>
      </c>
      <c r="L23" s="154">
        <f t="shared" si="6"/>
        <v>1157407</v>
      </c>
      <c r="M23" s="153"/>
      <c r="N23" s="153"/>
      <c r="O23" s="155">
        <f t="shared" si="7"/>
        <v>3467861.6683599995</v>
      </c>
      <c r="P23" s="156">
        <f t="shared" si="8"/>
        <v>2380191.6683599995</v>
      </c>
      <c r="Q23" s="161">
        <f t="shared" si="9"/>
        <v>2.1883399085752107</v>
      </c>
      <c r="R23" s="158"/>
      <c r="S23" s="158"/>
      <c r="T23" s="188">
        <f>+'[2]page 2'!D36</f>
        <v>1087670</v>
      </c>
      <c r="U23" s="50">
        <f>+T23*Recap!$E$5</f>
        <v>2175.34</v>
      </c>
      <c r="V23" s="50">
        <f>+(T23+U23)*Recap!$F$5</f>
        <v>19617.216120000001</v>
      </c>
      <c r="W23" s="172">
        <f t="shared" si="4"/>
        <v>21792.556120000001</v>
      </c>
    </row>
    <row r="24" spans="1:23" ht="13.2">
      <c r="A24" s="159" t="s">
        <v>113</v>
      </c>
      <c r="B24" s="164">
        <f>'[1]2010'!H32</f>
        <v>1454761</v>
      </c>
      <c r="C24" s="164">
        <f t="shared" si="5"/>
        <v>0</v>
      </c>
      <c r="D24" s="164">
        <f t="shared" si="0"/>
        <v>1454761</v>
      </c>
      <c r="E24" s="164"/>
      <c r="F24" s="164">
        <f t="shared" si="1"/>
        <v>29147.591396</v>
      </c>
      <c r="G24" s="164">
        <f t="shared" si="2"/>
        <v>1483908.591396</v>
      </c>
      <c r="H24" s="164">
        <f t="shared" si="3"/>
        <v>29147.591396000003</v>
      </c>
      <c r="I24" s="153">
        <v>0</v>
      </c>
      <c r="J24" s="153">
        <v>0</v>
      </c>
      <c r="K24" s="153">
        <v>0</v>
      </c>
      <c r="L24" s="154">
        <f t="shared" si="6"/>
        <v>1454761</v>
      </c>
      <c r="M24" s="153"/>
      <c r="N24" s="153"/>
      <c r="O24" s="155">
        <f t="shared" si="7"/>
        <v>4451725.7741879998</v>
      </c>
      <c r="P24" s="156">
        <f t="shared" si="8"/>
        <v>2996964.7741879998</v>
      </c>
      <c r="Q24" s="161">
        <f t="shared" si="9"/>
        <v>2.0601080000000001</v>
      </c>
      <c r="R24" s="158"/>
      <c r="S24" s="158"/>
      <c r="T24" s="188">
        <f>+'[2]page 2'!D37</f>
        <v>1454761</v>
      </c>
      <c r="U24" s="50">
        <f>+T24*Recap!$E$5</f>
        <v>2909.5219999999999</v>
      </c>
      <c r="V24" s="50">
        <f>+(T24+U24)*Recap!$F$5</f>
        <v>26238.069395999999</v>
      </c>
      <c r="W24" s="172">
        <f t="shared" si="4"/>
        <v>29147.591396</v>
      </c>
    </row>
    <row r="25" spans="1:23" ht="13.2">
      <c r="A25" s="159"/>
      <c r="B25" s="64"/>
      <c r="C25" s="164" t="s">
        <v>24</v>
      </c>
      <c r="D25" s="164" t="s">
        <v>24</v>
      </c>
      <c r="E25" s="64"/>
      <c r="F25" s="164" t="s">
        <v>24</v>
      </c>
      <c r="G25" s="164" t="s">
        <v>24</v>
      </c>
      <c r="H25" s="164" t="s">
        <v>24</v>
      </c>
      <c r="M25" s="153"/>
      <c r="N25" s="153"/>
      <c r="O25" s="155"/>
      <c r="P25" s="156"/>
      <c r="Q25" s="157"/>
      <c r="R25" s="158"/>
      <c r="S25" s="158"/>
      <c r="U25" s="50">
        <f>+T25*Recap!$E$5</f>
        <v>0</v>
      </c>
      <c r="V25" s="50">
        <f>+(T25+U25)*Recap!$F$5</f>
        <v>0</v>
      </c>
      <c r="W25" s="172">
        <f t="shared" si="4"/>
        <v>0</v>
      </c>
    </row>
    <row r="26" spans="1:23" ht="13.2">
      <c r="A26" s="150" t="s">
        <v>114</v>
      </c>
      <c r="B26" s="64"/>
      <c r="C26" s="164" t="s">
        <v>24</v>
      </c>
      <c r="D26" s="164" t="s">
        <v>24</v>
      </c>
      <c r="E26" s="64"/>
      <c r="F26" s="164" t="s">
        <v>24</v>
      </c>
      <c r="G26" s="164" t="s">
        <v>24</v>
      </c>
      <c r="H26" s="164" t="s">
        <v>24</v>
      </c>
      <c r="M26" s="153"/>
      <c r="N26" s="153"/>
      <c r="O26" s="155"/>
      <c r="P26" s="156"/>
      <c r="Q26" s="157"/>
      <c r="R26" s="158"/>
      <c r="S26" s="158"/>
      <c r="U26" s="50">
        <f>+T26*Recap!$E$5</f>
        <v>0</v>
      </c>
      <c r="V26" s="50">
        <f>+(T26+U26)*Recap!$F$5</f>
        <v>0</v>
      </c>
      <c r="W26" s="172">
        <f t="shared" si="4"/>
        <v>0</v>
      </c>
    </row>
    <row r="27" spans="1:23" ht="13.2">
      <c r="A27" s="159" t="s">
        <v>115</v>
      </c>
      <c r="B27" s="164">
        <f>'[1]2010'!H45</f>
        <v>1000000</v>
      </c>
      <c r="C27" s="164">
        <f t="shared" ref="C27:C34" si="10">+K27+J27+I27</f>
        <v>1750000</v>
      </c>
      <c r="D27" s="164">
        <f t="shared" si="0"/>
        <v>2750000</v>
      </c>
      <c r="E27" s="164"/>
      <c r="F27" s="164">
        <f t="shared" si="1"/>
        <v>20036</v>
      </c>
      <c r="G27" s="164">
        <f t="shared" si="2"/>
        <v>1020036</v>
      </c>
      <c r="H27" s="164">
        <f t="shared" si="3"/>
        <v>-1729964</v>
      </c>
      <c r="I27" s="153">
        <f>2750000-B27</f>
        <v>1750000</v>
      </c>
      <c r="J27" s="153">
        <v>0</v>
      </c>
      <c r="K27" s="153">
        <v>0</v>
      </c>
      <c r="L27" s="154">
        <f t="shared" ref="L27:L34" si="11">+B27+C27</f>
        <v>2750000</v>
      </c>
      <c r="M27" s="153"/>
      <c r="N27" s="153"/>
      <c r="O27" s="155">
        <f t="shared" ref="O27:O34" si="12">SUM(B27:K27)</f>
        <v>6560108</v>
      </c>
      <c r="P27" s="156">
        <f t="shared" ref="P27:P34" si="13">O27-B27</f>
        <v>5560108</v>
      </c>
      <c r="Q27" s="161">
        <f t="shared" ref="Q27:Q34" si="14">P27/B27</f>
        <v>5.5601079999999996</v>
      </c>
      <c r="R27" s="158"/>
      <c r="S27" s="158"/>
      <c r="T27" s="188">
        <f>'[2]page 2'!$D$60</f>
        <v>1000000</v>
      </c>
      <c r="U27" s="50">
        <f>+T27*Recap!$E$5</f>
        <v>2000</v>
      </c>
      <c r="V27" s="50">
        <f>+(T27+U27)*Recap!$F$5</f>
        <v>18036</v>
      </c>
      <c r="W27" s="172">
        <f t="shared" si="4"/>
        <v>20036</v>
      </c>
    </row>
    <row r="28" spans="1:23" ht="13.2">
      <c r="A28" s="159" t="s">
        <v>116</v>
      </c>
      <c r="B28" s="164">
        <f>'[1]2010'!H46</f>
        <v>884346</v>
      </c>
      <c r="C28" s="164">
        <f t="shared" si="10"/>
        <v>60591</v>
      </c>
      <c r="D28" s="164">
        <f t="shared" si="0"/>
        <v>944937</v>
      </c>
      <c r="E28" s="164"/>
      <c r="F28" s="164">
        <f t="shared" si="1"/>
        <v>17718.756455999999</v>
      </c>
      <c r="G28" s="164">
        <f t="shared" si="2"/>
        <v>902064.75645600003</v>
      </c>
      <c r="H28" s="164">
        <f t="shared" si="3"/>
        <v>-42872.243543999968</v>
      </c>
      <c r="I28" s="153">
        <f>944937-B28</f>
        <v>60591</v>
      </c>
      <c r="J28" s="153">
        <v>0</v>
      </c>
      <c r="K28" s="153">
        <v>0</v>
      </c>
      <c r="L28" s="154">
        <f t="shared" si="11"/>
        <v>944937</v>
      </c>
      <c r="M28" s="153"/>
      <c r="N28" s="153"/>
      <c r="O28" s="155">
        <f t="shared" si="12"/>
        <v>2827376.2693680003</v>
      </c>
      <c r="P28" s="156">
        <f t="shared" si="13"/>
        <v>1943030.2693680003</v>
      </c>
      <c r="Q28" s="161">
        <f t="shared" si="14"/>
        <v>2.1971380764632853</v>
      </c>
      <c r="R28" s="158"/>
      <c r="S28" s="158"/>
      <c r="T28" s="188">
        <f>'[2]page 2'!$D$55</f>
        <v>884346</v>
      </c>
      <c r="U28" s="50">
        <f>+T28*Recap!$E$5</f>
        <v>1768.692</v>
      </c>
      <c r="V28" s="50">
        <f>+(T28+U28)*Recap!$F$5</f>
        <v>15950.064456</v>
      </c>
      <c r="W28" s="172">
        <f t="shared" si="4"/>
        <v>17718.756455999999</v>
      </c>
    </row>
    <row r="29" spans="1:23" ht="13.2">
      <c r="A29" s="159" t="s">
        <v>117</v>
      </c>
      <c r="B29" s="164">
        <f>'[1]2010'!H47</f>
        <v>498033</v>
      </c>
      <c r="C29" s="164">
        <f t="shared" si="10"/>
        <v>52109</v>
      </c>
      <c r="D29" s="164">
        <f t="shared" si="0"/>
        <v>550142</v>
      </c>
      <c r="E29" s="164"/>
      <c r="F29" s="164">
        <f t="shared" si="1"/>
        <v>9978.5891879999999</v>
      </c>
      <c r="G29" s="164">
        <f t="shared" si="2"/>
        <v>508011.58918800001</v>
      </c>
      <c r="H29" s="164">
        <f t="shared" si="3"/>
        <v>-42130.410811999987</v>
      </c>
      <c r="I29" s="153">
        <f>550142-B29</f>
        <v>52109</v>
      </c>
      <c r="J29" s="153">
        <v>0</v>
      </c>
      <c r="K29" s="153">
        <v>0</v>
      </c>
      <c r="L29" s="154">
        <f t="shared" si="11"/>
        <v>550142</v>
      </c>
      <c r="M29" s="153"/>
      <c r="N29" s="153"/>
      <c r="O29" s="155">
        <f t="shared" si="12"/>
        <v>1628252.7675639999</v>
      </c>
      <c r="P29" s="156">
        <f t="shared" si="13"/>
        <v>1130219.7675639999</v>
      </c>
      <c r="Q29" s="161">
        <f t="shared" si="14"/>
        <v>2.2693672257942743</v>
      </c>
      <c r="R29" s="158"/>
      <c r="S29" s="158"/>
      <c r="T29" s="188">
        <f>'[2]page 2'!$D$56</f>
        <v>498033</v>
      </c>
      <c r="U29" s="50">
        <f>+T29*Recap!$E$5</f>
        <v>996.06600000000003</v>
      </c>
      <c r="V29" s="50">
        <f>+(T29+U29)*Recap!$F$5</f>
        <v>8982.5231879999992</v>
      </c>
      <c r="W29" s="172">
        <f t="shared" si="4"/>
        <v>9978.5891879999999</v>
      </c>
    </row>
    <row r="30" spans="1:23" ht="13.2">
      <c r="A30" s="159" t="s">
        <v>118</v>
      </c>
      <c r="B30" s="164">
        <f>'[1]2010'!H48</f>
        <v>3686942</v>
      </c>
      <c r="C30" s="164">
        <f t="shared" si="10"/>
        <v>4142184</v>
      </c>
      <c r="D30" s="164">
        <f t="shared" si="0"/>
        <v>7829126</v>
      </c>
      <c r="E30" s="164"/>
      <c r="F30" s="164">
        <f t="shared" si="1"/>
        <v>73871.569912000006</v>
      </c>
      <c r="G30" s="164">
        <f t="shared" si="2"/>
        <v>3760813.5699120001</v>
      </c>
      <c r="H30" s="164">
        <f t="shared" si="3"/>
        <v>-4068312.4300879999</v>
      </c>
      <c r="I30" s="153">
        <f>7829126-B30</f>
        <v>4142184</v>
      </c>
      <c r="J30" s="153">
        <v>0</v>
      </c>
      <c r="K30" s="153">
        <v>0</v>
      </c>
      <c r="L30" s="154">
        <f t="shared" si="11"/>
        <v>7829126</v>
      </c>
      <c r="M30" s="153"/>
      <c r="N30" s="153"/>
      <c r="O30" s="155">
        <f t="shared" si="12"/>
        <v>19566808.709735997</v>
      </c>
      <c r="P30" s="156">
        <f t="shared" si="13"/>
        <v>15879866.709735997</v>
      </c>
      <c r="Q30" s="161">
        <f t="shared" si="14"/>
        <v>4.3070562839708346</v>
      </c>
      <c r="R30" s="158"/>
      <c r="S30" s="158"/>
      <c r="T30" s="188">
        <f>'[2]page 2'!$D$57</f>
        <v>3686942</v>
      </c>
      <c r="U30" s="50">
        <f>+T30*Recap!$E$5</f>
        <v>7373.884</v>
      </c>
      <c r="V30" s="50">
        <f>+(T30+U30)*Recap!$F$5</f>
        <v>66497.685912000001</v>
      </c>
      <c r="W30" s="172">
        <f t="shared" si="4"/>
        <v>73871.569912000006</v>
      </c>
    </row>
    <row r="31" spans="1:23" ht="13.2">
      <c r="A31" s="159" t="s">
        <v>119</v>
      </c>
      <c r="B31" s="164">
        <f>'[1]2010'!H49</f>
        <v>846676</v>
      </c>
      <c r="C31" s="164">
        <f t="shared" si="10"/>
        <v>1227012</v>
      </c>
      <c r="D31" s="164">
        <f t="shared" si="0"/>
        <v>2073688</v>
      </c>
      <c r="E31" s="164"/>
      <c r="F31" s="164">
        <f t="shared" si="1"/>
        <v>16964.000335999997</v>
      </c>
      <c r="G31" s="164">
        <f t="shared" si="2"/>
        <v>863640.000336</v>
      </c>
      <c r="H31" s="164">
        <f t="shared" si="3"/>
        <v>-1210047.999664</v>
      </c>
      <c r="I31" s="153">
        <f>2073688-B31</f>
        <v>1227012</v>
      </c>
      <c r="J31" s="153">
        <v>0</v>
      </c>
      <c r="K31" s="153">
        <v>0</v>
      </c>
      <c r="L31" s="154">
        <f t="shared" si="11"/>
        <v>2073688</v>
      </c>
      <c r="M31" s="153"/>
      <c r="N31" s="153"/>
      <c r="O31" s="155">
        <f t="shared" si="12"/>
        <v>5044944.0010079993</v>
      </c>
      <c r="P31" s="156">
        <f t="shared" si="13"/>
        <v>4198268.0010079993</v>
      </c>
      <c r="Q31" s="161">
        <f t="shared" si="14"/>
        <v>4.95852959220292</v>
      </c>
      <c r="R31" s="158"/>
      <c r="S31" s="158"/>
      <c r="T31" s="188">
        <f>'[2]page 2'!$D$58</f>
        <v>846676</v>
      </c>
      <c r="U31" s="50">
        <f>+T31*Recap!$E$5</f>
        <v>1693.3520000000001</v>
      </c>
      <c r="V31" s="50">
        <f>+(T31+U31)*Recap!$F$5</f>
        <v>15270.648335999998</v>
      </c>
      <c r="W31" s="172">
        <f t="shared" si="4"/>
        <v>16964.000335999997</v>
      </c>
    </row>
    <row r="32" spans="1:23" ht="13.2">
      <c r="A32" s="159" t="s">
        <v>120</v>
      </c>
      <c r="B32" s="164">
        <f>'[1]2010'!H50</f>
        <v>277853</v>
      </c>
      <c r="C32" s="164">
        <f t="shared" si="10"/>
        <v>848793</v>
      </c>
      <c r="D32" s="164">
        <f t="shared" si="0"/>
        <v>1126646</v>
      </c>
      <c r="E32" s="164"/>
      <c r="F32" s="164">
        <f t="shared" si="1"/>
        <v>5967.7827079999997</v>
      </c>
      <c r="G32" s="164">
        <f t="shared" si="2"/>
        <v>283820.78270799998</v>
      </c>
      <c r="H32" s="164">
        <f t="shared" si="3"/>
        <v>-842825.21729200007</v>
      </c>
      <c r="I32" s="153">
        <f>1126646-B32</f>
        <v>848793</v>
      </c>
      <c r="J32" s="153">
        <v>0</v>
      </c>
      <c r="K32" s="153">
        <v>0</v>
      </c>
      <c r="L32" s="154">
        <f t="shared" si="11"/>
        <v>1126646</v>
      </c>
      <c r="M32" s="153"/>
      <c r="N32" s="153"/>
      <c r="O32" s="155">
        <f t="shared" si="12"/>
        <v>2549048.3481239998</v>
      </c>
      <c r="P32" s="156">
        <f t="shared" si="13"/>
        <v>2271195.3481239998</v>
      </c>
      <c r="Q32" s="161">
        <f t="shared" si="14"/>
        <v>8.1740897097529981</v>
      </c>
      <c r="R32" s="158"/>
      <c r="S32" s="158"/>
      <c r="T32" s="188">
        <f>'[2]page 2'!$D$59</f>
        <v>297853</v>
      </c>
      <c r="U32" s="50">
        <f>+T32*Recap!$E$5</f>
        <v>595.70600000000002</v>
      </c>
      <c r="V32" s="50">
        <f>+(T32+U32)*Recap!$F$5</f>
        <v>5372.0767079999996</v>
      </c>
      <c r="W32" s="172">
        <f t="shared" si="4"/>
        <v>5967.7827079999997</v>
      </c>
    </row>
    <row r="33" spans="1:23" ht="13.2">
      <c r="A33" s="159" t="s">
        <v>121</v>
      </c>
      <c r="B33" s="164">
        <f>'[1]2010'!H54</f>
        <v>236739537</v>
      </c>
      <c r="C33" s="164">
        <f t="shared" si="10"/>
        <v>53262469.903999999</v>
      </c>
      <c r="D33" s="164">
        <f t="shared" si="0"/>
        <v>290002006.90399998</v>
      </c>
      <c r="E33" s="164"/>
      <c r="F33" s="164">
        <f t="shared" si="1"/>
        <v>21961753.988947999</v>
      </c>
      <c r="G33" s="164">
        <f t="shared" si="2"/>
        <v>258701290.98894799</v>
      </c>
      <c r="H33" s="164">
        <f t="shared" si="3"/>
        <v>-31300715.915051997</v>
      </c>
      <c r="I33" s="153">
        <v>30081512</v>
      </c>
      <c r="J33" s="153">
        <v>0</v>
      </c>
      <c r="K33" s="153">
        <v>23180957.903999999</v>
      </c>
      <c r="L33" s="154">
        <f t="shared" si="11"/>
        <v>290002006.90399998</v>
      </c>
      <c r="M33" s="153"/>
      <c r="N33" s="153"/>
      <c r="O33" s="155">
        <f t="shared" si="12"/>
        <v>882628812.77484393</v>
      </c>
      <c r="P33" s="156">
        <f t="shared" si="13"/>
        <v>645889275.77484393</v>
      </c>
      <c r="Q33" s="161">
        <f t="shared" si="14"/>
        <v>2.7282695740629244</v>
      </c>
      <c r="R33" s="158"/>
      <c r="S33" s="158"/>
      <c r="T33" s="188">
        <f>'[2]page 2'!$D$72</f>
        <v>1096114693</v>
      </c>
      <c r="U33" s="50">
        <f>+T33*Recap!$E$5</f>
        <v>2192229.3859999999</v>
      </c>
      <c r="V33" s="50">
        <f>+(T33+U33)*Recap!$F$5</f>
        <v>19769524.602947999</v>
      </c>
      <c r="W33" s="172">
        <f t="shared" si="4"/>
        <v>21961753.988947999</v>
      </c>
    </row>
    <row r="34" spans="1:23" ht="13.2">
      <c r="A34" s="159" t="s">
        <v>122</v>
      </c>
      <c r="B34" s="164">
        <f>'[1]2010'!H51</f>
        <v>1582832</v>
      </c>
      <c r="C34" s="164">
        <f t="shared" si="10"/>
        <v>170924</v>
      </c>
      <c r="D34" s="164">
        <f t="shared" si="0"/>
        <v>1753756</v>
      </c>
      <c r="E34" s="164"/>
      <c r="F34" s="164">
        <f t="shared" si="1"/>
        <v>31713.621952000001</v>
      </c>
      <c r="G34" s="164">
        <f t="shared" si="2"/>
        <v>1614545.6219520001</v>
      </c>
      <c r="H34" s="164">
        <f t="shared" si="3"/>
        <v>-139210.37804799993</v>
      </c>
      <c r="I34" s="153">
        <v>170924</v>
      </c>
      <c r="J34" s="153">
        <v>0</v>
      </c>
      <c r="K34" s="153">
        <v>0</v>
      </c>
      <c r="L34" s="154">
        <f t="shared" si="11"/>
        <v>1753756</v>
      </c>
      <c r="M34" s="153"/>
      <c r="N34" s="153"/>
      <c r="O34" s="155">
        <f t="shared" si="12"/>
        <v>5185484.8658560002</v>
      </c>
      <c r="P34" s="156">
        <f t="shared" si="13"/>
        <v>3602652.8658560002</v>
      </c>
      <c r="Q34" s="161">
        <f t="shared" si="14"/>
        <v>2.2760803836768528</v>
      </c>
      <c r="R34" s="158"/>
      <c r="S34" s="158"/>
      <c r="T34" s="188">
        <f>'[2]page 2'!$D$61</f>
        <v>1582832</v>
      </c>
      <c r="U34" s="50">
        <f>+T34*Recap!$E$5</f>
        <v>3165.6640000000002</v>
      </c>
      <c r="V34" s="50">
        <f>+(T34+U34)*Recap!$F$5</f>
        <v>28547.957952000001</v>
      </c>
      <c r="W34" s="172">
        <f t="shared" si="4"/>
        <v>31713.621952000001</v>
      </c>
    </row>
    <row r="35" spans="1:23" ht="13.2">
      <c r="A35" s="159"/>
      <c r="B35" s="64"/>
      <c r="C35" s="164" t="s">
        <v>24</v>
      </c>
      <c r="D35" s="164" t="s">
        <v>24</v>
      </c>
      <c r="E35" s="64"/>
      <c r="F35" s="164" t="s">
        <v>24</v>
      </c>
      <c r="G35" s="164" t="s">
        <v>24</v>
      </c>
      <c r="H35" s="164" t="s">
        <v>24</v>
      </c>
      <c r="M35" s="153"/>
      <c r="N35" s="153"/>
      <c r="O35" s="155"/>
      <c r="P35" s="156"/>
      <c r="Q35" s="157"/>
      <c r="R35" s="158"/>
      <c r="S35" s="158"/>
      <c r="U35" s="50">
        <f>+T35*Recap!$E$5</f>
        <v>0</v>
      </c>
      <c r="V35" s="50">
        <f>+(T35+U35)*Recap!$F$5</f>
        <v>0</v>
      </c>
      <c r="W35" s="172">
        <f t="shared" si="4"/>
        <v>0</v>
      </c>
    </row>
    <row r="36" spans="1:23" ht="13.2">
      <c r="A36" s="150" t="s">
        <v>123</v>
      </c>
      <c r="B36" s="64"/>
      <c r="C36" s="164" t="s">
        <v>24</v>
      </c>
      <c r="D36" s="164" t="s">
        <v>24</v>
      </c>
      <c r="E36" s="64"/>
      <c r="F36" s="164" t="s">
        <v>24</v>
      </c>
      <c r="G36" s="164" t="s">
        <v>24</v>
      </c>
      <c r="H36" s="164" t="s">
        <v>24</v>
      </c>
      <c r="M36" s="153"/>
      <c r="N36" s="153"/>
      <c r="O36" s="155"/>
      <c r="P36" s="156"/>
      <c r="Q36" s="157"/>
      <c r="R36" s="158"/>
      <c r="S36" s="158"/>
      <c r="U36" s="50">
        <f>+T36*Recap!$E$5</f>
        <v>0</v>
      </c>
      <c r="V36" s="50">
        <f>+(T36+U36)*Recap!$F$5</f>
        <v>0</v>
      </c>
      <c r="W36" s="172">
        <f t="shared" si="4"/>
        <v>0</v>
      </c>
    </row>
    <row r="37" spans="1:23" ht="13.2">
      <c r="A37" s="159" t="s">
        <v>124</v>
      </c>
      <c r="B37" s="164">
        <f>'[1]2010'!H57</f>
        <v>670115</v>
      </c>
      <c r="C37" s="164">
        <f>+K37+J37+I37</f>
        <v>1098100</v>
      </c>
      <c r="D37" s="164">
        <f t="shared" si="0"/>
        <v>1768215</v>
      </c>
      <c r="E37" s="164"/>
      <c r="F37" s="164">
        <f t="shared" si="1"/>
        <v>13426.424139999999</v>
      </c>
      <c r="G37" s="164">
        <f t="shared" si="2"/>
        <v>683541.42414000002</v>
      </c>
      <c r="H37" s="164">
        <f t="shared" si="3"/>
        <v>-1084673.57586</v>
      </c>
      <c r="I37" s="153">
        <f>1768215-B37</f>
        <v>1098100</v>
      </c>
      <c r="J37" s="153">
        <v>0</v>
      </c>
      <c r="K37" s="153">
        <v>0</v>
      </c>
      <c r="L37" s="154">
        <f>+B37+C37</f>
        <v>1768215</v>
      </c>
      <c r="M37" s="153"/>
      <c r="N37" s="153"/>
      <c r="O37" s="155">
        <f>SUM(B37:K37)</f>
        <v>4246824.2724199994</v>
      </c>
      <c r="P37" s="156">
        <f>O37-B37</f>
        <v>3576709.2724199994</v>
      </c>
      <c r="Q37" s="161">
        <f>P37/B37</f>
        <v>5.3374559178946885</v>
      </c>
      <c r="R37" s="158"/>
      <c r="S37" s="158"/>
      <c r="T37" s="188">
        <f>'[2]page 2'!$D$76</f>
        <v>670115</v>
      </c>
      <c r="U37" s="50">
        <f>+T37*Recap!$E$5</f>
        <v>1340.23</v>
      </c>
      <c r="V37" s="50">
        <f>+(T37+U37)*Recap!$F$5</f>
        <v>12086.19414</v>
      </c>
      <c r="W37" s="172">
        <f t="shared" si="4"/>
        <v>13426.424139999999</v>
      </c>
    </row>
    <row r="38" spans="1:23" ht="13.2">
      <c r="A38" s="159" t="s">
        <v>125</v>
      </c>
      <c r="B38" s="164">
        <f>'[1]2010'!H58</f>
        <v>3508316</v>
      </c>
      <c r="C38" s="164">
        <f>+K38+J38+I38</f>
        <v>3045477.0079999999</v>
      </c>
      <c r="D38" s="164">
        <f t="shared" si="0"/>
        <v>6553793.0079999994</v>
      </c>
      <c r="E38" s="164"/>
      <c r="F38" s="164">
        <f t="shared" si="1"/>
        <v>115724.24937599999</v>
      </c>
      <c r="G38" s="164">
        <f t="shared" si="2"/>
        <v>3624040.2493759999</v>
      </c>
      <c r="H38" s="164">
        <f t="shared" si="3"/>
        <v>-2929752.7586239995</v>
      </c>
      <c r="I38" s="153">
        <f>5767558-B38</f>
        <v>2259242</v>
      </c>
      <c r="J38" s="153">
        <v>0</v>
      </c>
      <c r="K38" s="153">
        <v>786235.00800000003</v>
      </c>
      <c r="L38" s="154">
        <f>+B38+C38</f>
        <v>6553793.0079999994</v>
      </c>
      <c r="M38" s="153"/>
      <c r="N38" s="153"/>
      <c r="O38" s="155">
        <f>SUM(B38:K38)</f>
        <v>16963074.764128003</v>
      </c>
      <c r="P38" s="156">
        <f>O38-B38</f>
        <v>13454758.764128003</v>
      </c>
      <c r="Q38" s="161">
        <f>P38/B38</f>
        <v>3.8351045812657705</v>
      </c>
      <c r="R38" s="158"/>
      <c r="S38" s="158"/>
      <c r="T38" s="188">
        <f>'[2]page 2'!$D$77+'[2]page 2'!$D$78</f>
        <v>5775816</v>
      </c>
      <c r="U38" s="50">
        <f>+T38*Recap!$E$5</f>
        <v>11551.632</v>
      </c>
      <c r="V38" s="50">
        <f>+(T38+U38)*Recap!$F$5</f>
        <v>104172.61737599999</v>
      </c>
      <c r="W38" s="172">
        <f t="shared" si="4"/>
        <v>115724.24937599999</v>
      </c>
    </row>
    <row r="39" spans="1:23" ht="13.2">
      <c r="A39" s="159" t="s">
        <v>126</v>
      </c>
      <c r="B39" s="164">
        <f>'[1]2010'!H59</f>
        <v>547025</v>
      </c>
      <c r="C39" s="164">
        <f>+K39+J39+I39</f>
        <v>306972</v>
      </c>
      <c r="D39" s="164">
        <f t="shared" si="0"/>
        <v>853997</v>
      </c>
      <c r="E39" s="164"/>
      <c r="F39" s="164">
        <f t="shared" si="1"/>
        <v>10960.1929</v>
      </c>
      <c r="G39" s="164">
        <f t="shared" si="2"/>
        <v>557985.19290000002</v>
      </c>
      <c r="H39" s="164">
        <f t="shared" si="3"/>
        <v>-296011.80709999998</v>
      </c>
      <c r="I39" s="153">
        <f>853997-B39</f>
        <v>306972</v>
      </c>
      <c r="J39" s="153">
        <v>0</v>
      </c>
      <c r="K39" s="153">
        <v>0</v>
      </c>
      <c r="L39" s="154">
        <f>+B39+C39</f>
        <v>853997</v>
      </c>
      <c r="M39" s="153"/>
      <c r="N39" s="153"/>
      <c r="O39" s="155">
        <f>SUM(B39:K39)</f>
        <v>2287899.5787</v>
      </c>
      <c r="P39" s="156">
        <f>O39-B39</f>
        <v>1740874.5787</v>
      </c>
      <c r="Q39" s="161">
        <f>P39/B39</f>
        <v>3.1824406173392439</v>
      </c>
      <c r="R39" s="158"/>
      <c r="S39" s="158"/>
      <c r="T39" s="188">
        <f>'[2]page 2'!$D$79</f>
        <v>547025</v>
      </c>
      <c r="U39" s="50">
        <f>+T39*Recap!$E$5</f>
        <v>1094.05</v>
      </c>
      <c r="V39" s="50">
        <f>+(T39+U39)*Recap!$F$5</f>
        <v>9866.1429000000007</v>
      </c>
      <c r="W39" s="172">
        <f t="shared" si="4"/>
        <v>10960.1929</v>
      </c>
    </row>
    <row r="40" spans="1:23" ht="13.2">
      <c r="A40" s="165" t="s">
        <v>139</v>
      </c>
      <c r="B40" s="166">
        <f>SUM(B5:B39)</f>
        <v>381271022</v>
      </c>
      <c r="C40" s="166">
        <f t="shared" ref="C40:H40" si="15">SUM(C5:C39)</f>
        <v>114725502.70099999</v>
      </c>
      <c r="D40" s="166">
        <f t="shared" si="15"/>
        <v>495996524.70100003</v>
      </c>
      <c r="E40" s="166">
        <f t="shared" si="15"/>
        <v>0</v>
      </c>
      <c r="F40" s="166">
        <f>SUM(F6:F39)</f>
        <v>25645455.317591995</v>
      </c>
      <c r="G40" s="166">
        <f t="shared" si="15"/>
        <v>406916477.31759191</v>
      </c>
      <c r="H40" s="166">
        <f t="shared" si="15"/>
        <v>-89080047.383407995</v>
      </c>
      <c r="M40" s="153"/>
      <c r="N40" s="153"/>
      <c r="O40" s="155"/>
      <c r="P40" s="156"/>
      <c r="Q40" s="157"/>
      <c r="R40" s="158"/>
      <c r="S40" s="158"/>
      <c r="U40" s="50">
        <f>+T40*Recap!$E$5</f>
        <v>0</v>
      </c>
      <c r="V40" s="50">
        <f>+(T40+U40)*Recap!$F$5</f>
        <v>0</v>
      </c>
      <c r="W40" s="172">
        <f t="shared" si="4"/>
        <v>0</v>
      </c>
    </row>
    <row r="41" spans="1:23">
      <c r="A41" s="151"/>
      <c r="B41" s="151"/>
      <c r="C41" s="151"/>
      <c r="D41" s="151"/>
      <c r="E41" s="151"/>
      <c r="F41" s="151"/>
      <c r="G41" s="151"/>
      <c r="H41" s="151"/>
      <c r="U41" s="50">
        <f>+T41*Recap!$E$5</f>
        <v>0</v>
      </c>
      <c r="V41" s="50">
        <f>+(T41+U41)*Recap!$F$5</f>
        <v>0</v>
      </c>
      <c r="W41" s="172">
        <f t="shared" si="4"/>
        <v>0</v>
      </c>
    </row>
    <row r="42" spans="1:23">
      <c r="A42" s="151"/>
      <c r="B42" s="151"/>
      <c r="C42" s="151"/>
      <c r="D42" s="151"/>
      <c r="E42" s="151"/>
      <c r="F42" s="151"/>
      <c r="G42" s="151"/>
      <c r="H42" s="151"/>
      <c r="U42" s="50">
        <f>+T42*Recap!$E$5</f>
        <v>0</v>
      </c>
      <c r="V42" s="50">
        <f>+(T42+U42)*Recap!$F$5</f>
        <v>0</v>
      </c>
      <c r="W42" s="172">
        <f t="shared" si="4"/>
        <v>0</v>
      </c>
    </row>
    <row r="43" spans="1:23">
      <c r="A43" s="151" t="s">
        <v>133</v>
      </c>
      <c r="B43" s="163">
        <v>394478610</v>
      </c>
      <c r="C43" s="163">
        <f>71896309+63217145</f>
        <v>135113454</v>
      </c>
      <c r="D43" s="163">
        <f>+C43+B43</f>
        <v>529592064</v>
      </c>
      <c r="E43" s="163"/>
      <c r="F43" s="163">
        <f>+Recap!K38</f>
        <v>17264728.474040054</v>
      </c>
      <c r="G43" s="163">
        <f>+F43+B43</f>
        <v>411743338.47404003</v>
      </c>
      <c r="H43" s="173">
        <f t="shared" ref="H43" si="16">+G43-D43</f>
        <v>-117848725.52595997</v>
      </c>
      <c r="U43" s="50">
        <f>+T43*Recap!$E$5</f>
        <v>0</v>
      </c>
      <c r="V43" s="50">
        <f>+(T43+U43)*Recap!$F$5</f>
        <v>0</v>
      </c>
      <c r="W43" s="172">
        <f t="shared" si="4"/>
        <v>0</v>
      </c>
    </row>
    <row r="44" spans="1:23">
      <c r="A44" s="151"/>
      <c r="B44" s="151"/>
      <c r="C44" s="151"/>
      <c r="D44" s="151"/>
      <c r="E44" s="151"/>
      <c r="F44" s="151"/>
      <c r="G44" s="151"/>
      <c r="H44" s="120" t="s">
        <v>24</v>
      </c>
      <c r="U44" s="50">
        <f>+T44*Recap!$E$5</f>
        <v>0</v>
      </c>
      <c r="V44" s="50">
        <f>+(T44+U44)*Recap!$F$5</f>
        <v>0</v>
      </c>
      <c r="W44" s="172">
        <f t="shared" si="4"/>
        <v>0</v>
      </c>
    </row>
    <row r="45" spans="1:23">
      <c r="A45" s="167" t="s">
        <v>137</v>
      </c>
      <c r="B45" s="178">
        <f>+B40+B43</f>
        <v>775749632</v>
      </c>
      <c r="C45" s="178">
        <f t="shared" ref="C45:H45" si="17">+C40+C43</f>
        <v>249838956.70099998</v>
      </c>
      <c r="D45" s="178">
        <f t="shared" si="17"/>
        <v>1025588588.701</v>
      </c>
      <c r="E45" s="178">
        <f t="shared" si="17"/>
        <v>0</v>
      </c>
      <c r="F45" s="178">
        <f t="shared" si="17"/>
        <v>42910183.791632049</v>
      </c>
      <c r="G45" s="178">
        <f t="shared" si="17"/>
        <v>818659815.79163194</v>
      </c>
      <c r="H45" s="178">
        <f t="shared" si="17"/>
        <v>-206928772.90936798</v>
      </c>
      <c r="U45" s="50">
        <f>+T45*Recap!$E$5</f>
        <v>0</v>
      </c>
      <c r="V45" s="50">
        <f>+(T45+U45)*Recap!$F$5</f>
        <v>0</v>
      </c>
      <c r="W45" s="172">
        <f t="shared" si="4"/>
        <v>0</v>
      </c>
    </row>
    <row r="46" spans="1:23">
      <c r="A46" s="151"/>
      <c r="B46" s="151"/>
      <c r="C46" s="151"/>
      <c r="D46" s="151"/>
      <c r="E46" s="151"/>
      <c r="F46" s="151"/>
      <c r="G46" s="151"/>
      <c r="H46" s="151"/>
      <c r="U46" s="50">
        <f>+T46*Recap!$E$5</f>
        <v>0</v>
      </c>
      <c r="V46" s="50">
        <f>+(T46+U46)*Recap!$F$5</f>
        <v>0</v>
      </c>
      <c r="W46" s="172">
        <f t="shared" si="4"/>
        <v>0</v>
      </c>
    </row>
    <row r="47" spans="1:23">
      <c r="A47" s="151" t="s">
        <v>136</v>
      </c>
      <c r="B47" s="64">
        <v>25950000</v>
      </c>
      <c r="C47" s="64">
        <v>10765500</v>
      </c>
      <c r="D47" s="64">
        <f>+B47+C47</f>
        <v>36715500</v>
      </c>
      <c r="E47" s="64"/>
      <c r="F47" s="64">
        <v>0</v>
      </c>
      <c r="G47" s="174">
        <f t="shared" ref="G47" si="18">+B47+F47</f>
        <v>25950000</v>
      </c>
      <c r="H47" s="174">
        <f t="shared" ref="H47" si="19">+G47-D47</f>
        <v>-10765500</v>
      </c>
      <c r="U47" s="50">
        <f>+T47*Recap!$E$5</f>
        <v>0</v>
      </c>
      <c r="V47" s="50">
        <f>+(T47+U47)*Recap!$F$5</f>
        <v>0</v>
      </c>
      <c r="W47" s="172">
        <f t="shared" si="4"/>
        <v>0</v>
      </c>
    </row>
    <row r="48" spans="1:23">
      <c r="A48" s="151"/>
      <c r="B48" s="151"/>
      <c r="C48" s="151"/>
      <c r="D48" s="151"/>
      <c r="E48" s="151"/>
      <c r="F48" s="151"/>
      <c r="G48" s="151"/>
      <c r="H48" s="151"/>
      <c r="U48" s="50">
        <f>+T48*Recap!$E$5</f>
        <v>0</v>
      </c>
      <c r="V48" s="50">
        <f>+(T48+U48)*Recap!$F$5</f>
        <v>0</v>
      </c>
      <c r="W48" s="172">
        <f t="shared" si="4"/>
        <v>0</v>
      </c>
    </row>
    <row r="49" spans="1:23">
      <c r="A49" s="175" t="s">
        <v>138</v>
      </c>
      <c r="B49" s="176">
        <f>+B45+B47</f>
        <v>801699632</v>
      </c>
      <c r="C49" s="177">
        <f t="shared" ref="C49:H49" si="20">+C45+C47</f>
        <v>260604456.70099998</v>
      </c>
      <c r="D49" s="176">
        <f t="shared" si="20"/>
        <v>1062304088.701</v>
      </c>
      <c r="E49" s="176">
        <f t="shared" si="20"/>
        <v>0</v>
      </c>
      <c r="F49" s="177">
        <f t="shared" si="20"/>
        <v>42910183.791632049</v>
      </c>
      <c r="G49" s="176">
        <f t="shared" si="20"/>
        <v>844609815.79163194</v>
      </c>
      <c r="H49" s="177">
        <f t="shared" si="20"/>
        <v>-217694272.90936798</v>
      </c>
      <c r="U49" s="50">
        <f>+T49*Recap!$E$5</f>
        <v>0</v>
      </c>
      <c r="V49" s="50">
        <f>+(T49+U49)*Recap!$F$5</f>
        <v>0</v>
      </c>
      <c r="W49" s="172">
        <f t="shared" si="4"/>
        <v>0</v>
      </c>
    </row>
    <row r="50" spans="1:23" ht="33" customHeight="1">
      <c r="U50" s="50">
        <f>+T50*Recap!$E$5</f>
        <v>0</v>
      </c>
      <c r="V50" s="50">
        <f>+(T50+U50)*Recap!$F$5</f>
        <v>0</v>
      </c>
      <c r="W50" s="172">
        <f t="shared" si="4"/>
        <v>0</v>
      </c>
    </row>
    <row r="51" spans="1:23" ht="22.8" customHeight="1">
      <c r="A51" s="229" t="s">
        <v>148</v>
      </c>
      <c r="B51" s="229"/>
      <c r="C51" s="229"/>
      <c r="D51" s="229"/>
      <c r="E51" s="229"/>
      <c r="F51" s="229"/>
      <c r="G51" s="229"/>
      <c r="H51" s="229"/>
      <c r="U51" s="50"/>
      <c r="V51" s="50"/>
      <c r="W51" s="172"/>
    </row>
    <row r="52" spans="1:23" ht="14.4">
      <c r="A52" s="229" t="s">
        <v>149</v>
      </c>
      <c r="B52" s="229"/>
      <c r="C52" s="229"/>
      <c r="D52" s="229"/>
      <c r="E52" s="229"/>
      <c r="F52" s="229"/>
      <c r="G52" s="229"/>
      <c r="H52" s="229"/>
      <c r="U52" s="50"/>
      <c r="V52" s="50"/>
      <c r="W52" s="172"/>
    </row>
    <row r="53" spans="1:23" ht="15" thickBot="1">
      <c r="A53" s="229" t="s">
        <v>150</v>
      </c>
      <c r="B53" s="229"/>
      <c r="C53" s="229"/>
      <c r="D53" s="229"/>
      <c r="E53" s="229"/>
      <c r="F53" s="229"/>
      <c r="G53" s="229"/>
      <c r="H53" s="229"/>
      <c r="U53" s="50">
        <f>+T53*Recap!$E$5</f>
        <v>0</v>
      </c>
      <c r="V53" s="50">
        <f>+(T53+U53)*Recap!$F$5</f>
        <v>0</v>
      </c>
      <c r="W53" s="172">
        <f t="shared" si="4"/>
        <v>0</v>
      </c>
    </row>
    <row r="54" spans="1:23" ht="48.6" thickBot="1">
      <c r="A54" s="190" t="s">
        <v>140</v>
      </c>
      <c r="B54" s="191" t="s">
        <v>127</v>
      </c>
      <c r="C54" s="191" t="s">
        <v>145</v>
      </c>
      <c r="D54" s="191" t="s">
        <v>143</v>
      </c>
      <c r="E54" s="191"/>
      <c r="F54" s="191" t="s">
        <v>146</v>
      </c>
      <c r="G54" s="191" t="s">
        <v>147</v>
      </c>
      <c r="H54" s="192" t="s">
        <v>144</v>
      </c>
      <c r="U54" s="50">
        <f>+T54*Recap!$E$5</f>
        <v>0</v>
      </c>
      <c r="V54" s="50">
        <f>+(T54+U54)*Recap!$F$5</f>
        <v>0</v>
      </c>
      <c r="W54" s="172">
        <f t="shared" si="4"/>
        <v>0</v>
      </c>
    </row>
    <row r="55" spans="1:23" ht="21" customHeight="1">
      <c r="A55" s="193" t="s">
        <v>133</v>
      </c>
      <c r="B55" s="128">
        <f>+B43</f>
        <v>394478610</v>
      </c>
      <c r="C55" s="128">
        <f t="shared" ref="C55:H55" si="21">+C43</f>
        <v>135113454</v>
      </c>
      <c r="D55" s="128">
        <f t="shared" si="21"/>
        <v>529592064</v>
      </c>
      <c r="E55" s="128">
        <f t="shared" si="21"/>
        <v>0</v>
      </c>
      <c r="F55" s="128">
        <f t="shared" si="21"/>
        <v>17264728.474040054</v>
      </c>
      <c r="G55" s="128">
        <f t="shared" si="21"/>
        <v>411743338.47404003</v>
      </c>
      <c r="H55" s="129">
        <f t="shared" si="21"/>
        <v>-117848725.52595997</v>
      </c>
      <c r="U55" s="50">
        <f>+T55*Recap!$E$5</f>
        <v>0</v>
      </c>
      <c r="V55" s="50">
        <f>+(T55+U55)*Recap!$F$5</f>
        <v>0</v>
      </c>
      <c r="W55" s="172">
        <f t="shared" si="4"/>
        <v>0</v>
      </c>
    </row>
    <row r="56" spans="1:23" ht="21" customHeight="1">
      <c r="A56" s="194" t="s">
        <v>141</v>
      </c>
      <c r="B56" s="64">
        <f>+B40</f>
        <v>381271022</v>
      </c>
      <c r="C56" s="64">
        <f t="shared" ref="C56:H56" si="22">+C40</f>
        <v>114725502.70099999</v>
      </c>
      <c r="D56" s="64">
        <f t="shared" si="22"/>
        <v>495996524.70100003</v>
      </c>
      <c r="E56" s="64">
        <f t="shared" si="22"/>
        <v>0</v>
      </c>
      <c r="F56" s="64">
        <f t="shared" si="22"/>
        <v>25645455.317591995</v>
      </c>
      <c r="G56" s="64">
        <f t="shared" si="22"/>
        <v>406916477.31759191</v>
      </c>
      <c r="H56" s="72">
        <f t="shared" si="22"/>
        <v>-89080047.383407995</v>
      </c>
      <c r="U56" s="50">
        <f>+T56*Recap!$E$5</f>
        <v>0</v>
      </c>
      <c r="V56" s="50">
        <f>+(T56+U56)*Recap!$F$5</f>
        <v>0</v>
      </c>
      <c r="W56" s="172">
        <f t="shared" si="4"/>
        <v>0</v>
      </c>
    </row>
    <row r="57" spans="1:23" ht="21" customHeight="1" thickBot="1">
      <c r="A57" s="195" t="s">
        <v>136</v>
      </c>
      <c r="B57" s="74">
        <f>+B47</f>
        <v>25950000</v>
      </c>
      <c r="C57" s="74">
        <f t="shared" ref="C57:H57" si="23">+C47</f>
        <v>10765500</v>
      </c>
      <c r="D57" s="74">
        <f t="shared" si="23"/>
        <v>36715500</v>
      </c>
      <c r="E57" s="74">
        <f t="shared" si="23"/>
        <v>0</v>
      </c>
      <c r="F57" s="74">
        <f t="shared" si="23"/>
        <v>0</v>
      </c>
      <c r="G57" s="74">
        <f t="shared" si="23"/>
        <v>25950000</v>
      </c>
      <c r="H57" s="75">
        <f t="shared" si="23"/>
        <v>-10765500</v>
      </c>
      <c r="U57" s="50">
        <f>+T57*Recap!$E$5</f>
        <v>0</v>
      </c>
      <c r="V57" s="50">
        <f>+(T57+U57)*Recap!$F$5</f>
        <v>0</v>
      </c>
      <c r="W57" s="172">
        <f t="shared" si="4"/>
        <v>0</v>
      </c>
    </row>
    <row r="58" spans="1:23" ht="21" customHeight="1" thickBot="1">
      <c r="A58" s="196" t="s">
        <v>67</v>
      </c>
      <c r="B58" s="197">
        <f>SUM(B55:B57)</f>
        <v>801699632</v>
      </c>
      <c r="C58" s="197">
        <f t="shared" ref="C58:H58" si="24">SUM(C55:C57)</f>
        <v>260604456.70099998</v>
      </c>
      <c r="D58" s="197">
        <f t="shared" si="24"/>
        <v>1062304088.701</v>
      </c>
      <c r="E58" s="197">
        <f t="shared" si="24"/>
        <v>0</v>
      </c>
      <c r="F58" s="197">
        <f t="shared" si="24"/>
        <v>42910183.791632049</v>
      </c>
      <c r="G58" s="197">
        <f t="shared" si="24"/>
        <v>844609815.79163194</v>
      </c>
      <c r="H58" s="198">
        <f t="shared" si="24"/>
        <v>-217694272.90936798</v>
      </c>
      <c r="U58" s="50">
        <f>+T58*Recap!$E$5</f>
        <v>0</v>
      </c>
      <c r="V58" s="50">
        <f>+(T58+U58)*Recap!$F$5</f>
        <v>0</v>
      </c>
      <c r="W58" s="172">
        <f t="shared" si="4"/>
        <v>0</v>
      </c>
    </row>
    <row r="59" spans="1:23">
      <c r="U59" s="50">
        <f>+T59*Recap!$E$5</f>
        <v>0</v>
      </c>
      <c r="V59" s="50">
        <f>+(T59+U59)*Recap!$F$5</f>
        <v>0</v>
      </c>
      <c r="W59" s="172">
        <f t="shared" si="4"/>
        <v>0</v>
      </c>
    </row>
    <row r="60" spans="1:23">
      <c r="U60" s="50">
        <f>+T60*Recap!$E$5</f>
        <v>0</v>
      </c>
      <c r="V60" s="50">
        <f>+(T60+U60)*Recap!$F$5</f>
        <v>0</v>
      </c>
      <c r="W60" s="172">
        <f t="shared" si="4"/>
        <v>0</v>
      </c>
    </row>
    <row r="61" spans="1:23">
      <c r="U61" s="50">
        <f>+T61*Recap!$E$5</f>
        <v>0</v>
      </c>
      <c r="V61" s="50">
        <f>+(T61+U61)*Recap!$F$5</f>
        <v>0</v>
      </c>
      <c r="W61" s="172">
        <f t="shared" si="4"/>
        <v>0</v>
      </c>
    </row>
    <row r="62" spans="1:23">
      <c r="U62" s="50">
        <f>+T62*Recap!$E$5</f>
        <v>0</v>
      </c>
      <c r="V62" s="50">
        <f>+(T62+U62)*Recap!$F$5</f>
        <v>0</v>
      </c>
      <c r="W62" s="172">
        <f t="shared" si="4"/>
        <v>0</v>
      </c>
    </row>
    <row r="63" spans="1:23">
      <c r="U63" s="50">
        <f>+T63*Recap!$E$5</f>
        <v>0</v>
      </c>
      <c r="V63" s="50">
        <f>+(T63+U63)*Recap!$F$5</f>
        <v>0</v>
      </c>
      <c r="W63" s="172">
        <f t="shared" si="4"/>
        <v>0</v>
      </c>
    </row>
  </sheetData>
  <mergeCells count="6">
    <mergeCell ref="A51:H51"/>
    <mergeCell ref="A52:H52"/>
    <mergeCell ref="A53:H53"/>
    <mergeCell ref="A1:H1"/>
    <mergeCell ref="A2:H2"/>
    <mergeCell ref="A3:H3"/>
  </mergeCells>
  <printOptions horizontalCentered="1"/>
  <pageMargins left="0.45" right="0.45" top="0.75" bottom="0.5" header="0.3" footer="0.3"/>
  <pageSetup scale="77" orientation="portrait" r:id="rId1"/>
  <headerFooter>
    <oddFooter>&amp;L&amp;8&amp;D   &amp;T&amp;CAmended Appropriation Request for FY 2011&amp;R&amp;8&amp;A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53"/>
  <sheetViews>
    <sheetView topLeftCell="A37" zoomScale="91" zoomScaleNormal="91" workbookViewId="0">
      <selection activeCell="D38" sqref="D38:E38"/>
    </sheetView>
  </sheetViews>
  <sheetFormatPr defaultRowHeight="14.4"/>
  <cols>
    <col min="1" max="1" width="25.33203125" customWidth="1"/>
    <col min="2" max="2" width="14.44140625" style="3" customWidth="1"/>
    <col min="3" max="3" width="14.44140625" customWidth="1"/>
    <col min="4" max="4" width="15" customWidth="1"/>
    <col min="5" max="5" width="15.88671875" customWidth="1"/>
    <col min="6" max="6" width="12.6640625" customWidth="1"/>
  </cols>
  <sheetData>
    <row r="1" spans="1:5">
      <c r="A1" t="s">
        <v>23</v>
      </c>
    </row>
    <row r="2" spans="1:5" ht="30" customHeight="1">
      <c r="A2" s="14" t="s">
        <v>22</v>
      </c>
      <c r="B2" s="4" t="s">
        <v>4</v>
      </c>
      <c r="C2" s="5" t="s">
        <v>20</v>
      </c>
      <c r="D2" s="5" t="s">
        <v>21</v>
      </c>
      <c r="E2" s="5" t="s">
        <v>21</v>
      </c>
    </row>
    <row r="3" spans="1:5" ht="18.600000000000001" customHeight="1">
      <c r="B3" s="8" t="s">
        <v>0</v>
      </c>
      <c r="C3" s="9" t="s">
        <v>1</v>
      </c>
      <c r="D3" s="9" t="s">
        <v>2</v>
      </c>
      <c r="E3" s="9" t="s">
        <v>3</v>
      </c>
    </row>
    <row r="4" spans="1:5" ht="18.600000000000001" customHeight="1">
      <c r="A4" s="2" t="s">
        <v>5</v>
      </c>
    </row>
    <row r="5" spans="1:5" ht="18.600000000000001" customHeight="1">
      <c r="A5" s="7" t="s">
        <v>6</v>
      </c>
      <c r="B5" s="10">
        <v>17245138</v>
      </c>
      <c r="C5" s="10">
        <v>16191676</v>
      </c>
      <c r="D5" s="10">
        <v>16191676</v>
      </c>
      <c r="E5" s="10">
        <v>16191676</v>
      </c>
    </row>
    <row r="6" spans="1:5" ht="18.600000000000001" customHeight="1">
      <c r="A6" s="7" t="s">
        <v>7</v>
      </c>
      <c r="B6" s="6">
        <v>2657901</v>
      </c>
      <c r="C6" s="6">
        <v>2514594</v>
      </c>
      <c r="D6" s="6">
        <v>2514594</v>
      </c>
      <c r="E6" s="6">
        <v>2514594</v>
      </c>
    </row>
    <row r="7" spans="1:5" ht="18.600000000000001" customHeight="1">
      <c r="A7" s="7" t="s">
        <v>8</v>
      </c>
      <c r="B7" s="6">
        <v>418565</v>
      </c>
      <c r="C7" s="6">
        <v>0</v>
      </c>
      <c r="D7" s="6">
        <v>0</v>
      </c>
      <c r="E7" s="6">
        <v>0</v>
      </c>
    </row>
    <row r="8" spans="1:5" ht="18.600000000000001" customHeight="1">
      <c r="A8" s="7" t="s">
        <v>10</v>
      </c>
      <c r="B8" s="10">
        <f>SUM(B5:B7)</f>
        <v>20321604</v>
      </c>
      <c r="C8" s="10">
        <f>SUM(C5:C7)</f>
        <v>18706270</v>
      </c>
      <c r="D8" s="10">
        <f>SUM(D5:D7)</f>
        <v>18706270</v>
      </c>
      <c r="E8" s="10">
        <f>SUM(E5:E7)</f>
        <v>18706270</v>
      </c>
    </row>
    <row r="9" spans="1:5" ht="18.600000000000001" customHeight="1">
      <c r="A9" s="7"/>
      <c r="B9" s="6"/>
      <c r="C9" s="6"/>
      <c r="D9" s="6"/>
      <c r="E9" s="6"/>
    </row>
    <row r="10" spans="1:5" ht="18.600000000000001" customHeight="1">
      <c r="A10" s="7" t="s">
        <v>9</v>
      </c>
      <c r="B10" s="6">
        <v>0</v>
      </c>
      <c r="C10" s="6">
        <v>1651501</v>
      </c>
      <c r="D10" s="6">
        <f>+C10</f>
        <v>1651501</v>
      </c>
      <c r="E10" s="6">
        <f>+D10</f>
        <v>1651501</v>
      </c>
    </row>
    <row r="11" spans="1:5" ht="18.600000000000001" customHeight="1">
      <c r="A11" s="11" t="s">
        <v>19</v>
      </c>
      <c r="B11" s="10">
        <f>+B8+B10</f>
        <v>20321604</v>
      </c>
      <c r="C11" s="10">
        <f>+C8+C10</f>
        <v>20357771</v>
      </c>
      <c r="D11" s="10">
        <f>+D8+D10</f>
        <v>20357771</v>
      </c>
      <c r="E11" s="10">
        <f>+E8+E10</f>
        <v>20357771</v>
      </c>
    </row>
    <row r="12" spans="1:5" ht="18.600000000000001" customHeight="1">
      <c r="C12" s="3"/>
      <c r="D12" s="3"/>
      <c r="E12" s="3"/>
    </row>
    <row r="13" spans="1:5" ht="18.600000000000001" customHeight="1">
      <c r="A13" s="11" t="s">
        <v>11</v>
      </c>
      <c r="B13" s="6"/>
      <c r="C13" s="6"/>
      <c r="D13" s="6"/>
      <c r="E13" s="6"/>
    </row>
    <row r="14" spans="1:5" ht="18.600000000000001" customHeight="1">
      <c r="A14" s="7" t="s">
        <v>11</v>
      </c>
      <c r="B14" s="10">
        <v>18571832</v>
      </c>
      <c r="C14" s="10">
        <v>17312471</v>
      </c>
      <c r="D14" s="10">
        <v>17312471</v>
      </c>
      <c r="E14" s="10">
        <v>17312471</v>
      </c>
    </row>
    <row r="15" spans="1:5" ht="18.600000000000001" customHeight="1">
      <c r="A15" s="7" t="s">
        <v>18</v>
      </c>
      <c r="B15" s="10">
        <f>SUM(B14)</f>
        <v>18571832</v>
      </c>
      <c r="C15" s="10">
        <f>SUM(C14)</f>
        <v>17312471</v>
      </c>
      <c r="D15" s="10">
        <f>SUM(D14)</f>
        <v>17312471</v>
      </c>
      <c r="E15" s="10">
        <f>SUM(E14)</f>
        <v>17312471</v>
      </c>
    </row>
    <row r="16" spans="1:5" ht="18.600000000000001" customHeight="1">
      <c r="A16" s="11" t="s">
        <v>12</v>
      </c>
      <c r="B16" s="6"/>
      <c r="C16" s="6"/>
      <c r="D16" s="6"/>
      <c r="E16" s="6"/>
    </row>
    <row r="17" spans="1:5" ht="18.600000000000001" customHeight="1">
      <c r="A17" s="7" t="s">
        <v>14</v>
      </c>
      <c r="B17" s="10">
        <v>400000</v>
      </c>
      <c r="C17" s="10">
        <v>300000</v>
      </c>
      <c r="D17" s="10">
        <v>300000</v>
      </c>
      <c r="E17" s="10">
        <v>300000</v>
      </c>
    </row>
    <row r="18" spans="1:5" ht="18.600000000000001" customHeight="1">
      <c r="A18" s="7" t="s">
        <v>15</v>
      </c>
      <c r="B18" s="6">
        <v>1047500</v>
      </c>
      <c r="C18" s="6">
        <v>506800</v>
      </c>
      <c r="D18" s="6">
        <v>506800</v>
      </c>
      <c r="E18" s="6">
        <v>506800</v>
      </c>
    </row>
    <row r="19" spans="1:5" ht="18.600000000000001" customHeight="1">
      <c r="A19" s="7" t="s">
        <v>12</v>
      </c>
      <c r="B19" s="6">
        <v>832772</v>
      </c>
      <c r="C19" s="6">
        <v>2072135</v>
      </c>
      <c r="D19" s="6">
        <v>2072135</v>
      </c>
      <c r="E19" s="6">
        <v>2072135</v>
      </c>
    </row>
    <row r="20" spans="1:5" ht="18.600000000000001" customHeight="1">
      <c r="A20" s="7" t="s">
        <v>16</v>
      </c>
      <c r="B20" s="6">
        <v>2600000</v>
      </c>
      <c r="C20" s="6">
        <v>0</v>
      </c>
      <c r="D20" s="6">
        <v>0</v>
      </c>
      <c r="E20" s="6">
        <v>0</v>
      </c>
    </row>
    <row r="21" spans="1:5" ht="18.600000000000001" customHeight="1">
      <c r="A21" s="7" t="s">
        <v>17</v>
      </c>
      <c r="B21" s="10">
        <f>SUM(B17:B20)</f>
        <v>4880272</v>
      </c>
      <c r="C21" s="10">
        <f>SUM(C17:C20)</f>
        <v>2878935</v>
      </c>
      <c r="D21" s="10">
        <f>SUM(D17:D20)</f>
        <v>2878935</v>
      </c>
      <c r="E21" s="10">
        <f>SUM(E17:E20)</f>
        <v>2878935</v>
      </c>
    </row>
    <row r="22" spans="1:5" ht="18.600000000000001" customHeight="1">
      <c r="C22" s="3"/>
      <c r="D22" s="3"/>
      <c r="E22" s="3"/>
    </row>
    <row r="23" spans="1:5" s="1" customFormat="1" ht="18.600000000000001" customHeight="1">
      <c r="A23" s="12" t="s">
        <v>13</v>
      </c>
      <c r="B23" s="13">
        <f>+B11+B15+B21</f>
        <v>43773708</v>
      </c>
      <c r="C23" s="13">
        <f>+C11+C15+C21</f>
        <v>40549177</v>
      </c>
      <c r="D23" s="13">
        <f>+D11+D15+D21</f>
        <v>40549177</v>
      </c>
      <c r="E23" s="13">
        <f>+E11+E15+E21</f>
        <v>40549177</v>
      </c>
    </row>
    <row r="26" spans="1:5">
      <c r="A26" t="s">
        <v>27</v>
      </c>
      <c r="B26" s="15">
        <f>+B8</f>
        <v>20321604</v>
      </c>
      <c r="C26" s="15">
        <f>+C8</f>
        <v>18706270</v>
      </c>
      <c r="D26" s="15">
        <f>+D8</f>
        <v>18706270</v>
      </c>
      <c r="E26" s="15">
        <f>+E8</f>
        <v>18706270</v>
      </c>
    </row>
    <row r="27" spans="1:5">
      <c r="A27" s="16" t="s">
        <v>28</v>
      </c>
      <c r="B27" s="18">
        <v>0</v>
      </c>
      <c r="C27" s="18">
        <f>+Summary!C27</f>
        <v>0.05</v>
      </c>
      <c r="D27" s="18">
        <f>+Summary!D27</f>
        <v>0</v>
      </c>
      <c r="E27" s="18">
        <f>+Summary!E27</f>
        <v>0</v>
      </c>
    </row>
    <row r="28" spans="1:5">
      <c r="A28" s="16" t="s">
        <v>26</v>
      </c>
      <c r="B28" s="19">
        <f>+B26*B27</f>
        <v>0</v>
      </c>
      <c r="C28" s="19">
        <f>+C26*C27</f>
        <v>935313.5</v>
      </c>
      <c r="D28" s="19">
        <f>+D26*D27</f>
        <v>0</v>
      </c>
      <c r="E28" s="19">
        <f>+E26*E27</f>
        <v>0</v>
      </c>
    </row>
    <row r="29" spans="1:5">
      <c r="A29" t="s">
        <v>29</v>
      </c>
      <c r="B29" s="20">
        <f>+B26-B28</f>
        <v>20321604</v>
      </c>
      <c r="C29" s="20">
        <f>+C26-C28</f>
        <v>17770956.5</v>
      </c>
      <c r="D29" s="20">
        <f>+D26-D28</f>
        <v>18706270</v>
      </c>
      <c r="E29" s="20">
        <f>+E26-E28</f>
        <v>18706270</v>
      </c>
    </row>
    <row r="30" spans="1:5">
      <c r="A30" t="s">
        <v>9</v>
      </c>
      <c r="B30" s="3">
        <f>+B10</f>
        <v>0</v>
      </c>
      <c r="C30" s="3">
        <f>+C10</f>
        <v>1651501</v>
      </c>
      <c r="D30" s="3">
        <f>+D10</f>
        <v>1651501</v>
      </c>
      <c r="E30" s="3">
        <f>+E10</f>
        <v>1651501</v>
      </c>
    </row>
    <row r="31" spans="1:5">
      <c r="A31" t="s">
        <v>56</v>
      </c>
      <c r="C31" s="3">
        <v>0</v>
      </c>
      <c r="D31" s="3">
        <f>+C30/2</f>
        <v>825750.5</v>
      </c>
      <c r="E31" s="3">
        <f>+C30</f>
        <v>1651501</v>
      </c>
    </row>
    <row r="32" spans="1:5">
      <c r="A32" t="s">
        <v>57</v>
      </c>
      <c r="B32" s="3">
        <v>0</v>
      </c>
      <c r="C32" s="3">
        <f>+C30-C31</f>
        <v>1651501</v>
      </c>
      <c r="D32" s="3">
        <f>+D30-D31</f>
        <v>825750.5</v>
      </c>
      <c r="E32" s="3">
        <f>+E30-E31</f>
        <v>0</v>
      </c>
    </row>
    <row r="33" spans="1:5">
      <c r="B33" s="15">
        <f>+B29+B30</f>
        <v>20321604</v>
      </c>
      <c r="C33" s="15">
        <f>+C29+C32</f>
        <v>19422457.5</v>
      </c>
      <c r="D33" s="15">
        <f>+D29+D32</f>
        <v>19532020.5</v>
      </c>
      <c r="E33" s="15">
        <f>+E29+E32</f>
        <v>18706270</v>
      </c>
    </row>
    <row r="35" spans="1:5">
      <c r="A35" t="s">
        <v>11</v>
      </c>
      <c r="B35" s="15">
        <f>+B15</f>
        <v>18571832</v>
      </c>
      <c r="C35" s="15">
        <f>+C15</f>
        <v>17312471</v>
      </c>
      <c r="D35" s="15">
        <f>+D15</f>
        <v>17312471</v>
      </c>
      <c r="E35" s="15">
        <f>+E15</f>
        <v>17312471</v>
      </c>
    </row>
    <row r="36" spans="1:5">
      <c r="A36" s="16" t="s">
        <v>30</v>
      </c>
      <c r="B36" s="21" t="s">
        <v>24</v>
      </c>
      <c r="C36" s="22">
        <f>IF(Summary!C36=Recap!B38,Summary!C36,Recap!B38)</f>
        <v>0</v>
      </c>
      <c r="D36" s="22">
        <f>IF(Summary!D36=Recap!C38,Summary!D36,Recap!C38)</f>
        <v>0</v>
      </c>
      <c r="E36" s="22">
        <f>IF(Summary!E36=Recap!D38,Summary!E36,Recap!D38)</f>
        <v>0</v>
      </c>
    </row>
    <row r="37" spans="1:5">
      <c r="A37" s="16" t="s">
        <v>36</v>
      </c>
      <c r="B37" s="17"/>
      <c r="C37" s="23">
        <f>+C36*C35</f>
        <v>0</v>
      </c>
      <c r="D37" s="23">
        <f>+D36*D35</f>
        <v>0</v>
      </c>
      <c r="E37" s="23">
        <f>+E36*E35+D37</f>
        <v>0</v>
      </c>
    </row>
    <row r="38" spans="1:5">
      <c r="A38" t="s">
        <v>31</v>
      </c>
      <c r="B38" s="3" t="s">
        <v>24</v>
      </c>
      <c r="C38" s="3">
        <f>+[3]Sheet1!$D$8</f>
        <v>166076</v>
      </c>
      <c r="D38" s="3">
        <f>+[3]Sheet1!$D$8</f>
        <v>166076</v>
      </c>
      <c r="E38" s="3">
        <f>+[3]Sheet1!$D$8</f>
        <v>166076</v>
      </c>
    </row>
    <row r="39" spans="1:5">
      <c r="A39" t="s">
        <v>32</v>
      </c>
      <c r="C39" s="30">
        <f>+C37/C38/100</f>
        <v>0</v>
      </c>
      <c r="D39" s="30">
        <f>+D37/D38/100</f>
        <v>0</v>
      </c>
      <c r="E39" s="30">
        <f>+E37/E38/100</f>
        <v>0</v>
      </c>
    </row>
    <row r="40" spans="1:5">
      <c r="A40" t="s">
        <v>33</v>
      </c>
      <c r="B40" s="15">
        <f>+B35+B39</f>
        <v>18571832</v>
      </c>
      <c r="C40" s="15">
        <f>+C35+C37</f>
        <v>17312471</v>
      </c>
      <c r="D40" s="15">
        <f>+D35+D37</f>
        <v>17312471</v>
      </c>
      <c r="E40" s="15">
        <f>+E35+E37</f>
        <v>17312471</v>
      </c>
    </row>
    <row r="42" spans="1:5">
      <c r="A42" t="s">
        <v>34</v>
      </c>
      <c r="B42" s="3">
        <f>+B21</f>
        <v>4880272</v>
      </c>
      <c r="C42" s="3">
        <f>+C21</f>
        <v>2878935</v>
      </c>
      <c r="D42" s="3">
        <f>+D21</f>
        <v>2878935</v>
      </c>
      <c r="E42" s="3">
        <f>+E21</f>
        <v>2878935</v>
      </c>
    </row>
    <row r="44" spans="1:5">
      <c r="A44" t="s">
        <v>35</v>
      </c>
      <c r="B44" s="15">
        <f>+B33+B40+B42</f>
        <v>43773708</v>
      </c>
      <c r="C44" s="15">
        <f>+C33+C40+C42</f>
        <v>39613863.5</v>
      </c>
      <c r="D44" s="15">
        <f>+D33+D40+D42</f>
        <v>39723426.5</v>
      </c>
      <c r="E44" s="15">
        <f>+E33+E40+E42</f>
        <v>38897676</v>
      </c>
    </row>
    <row r="45" spans="1:5">
      <c r="A45" t="s">
        <v>37</v>
      </c>
      <c r="B45" s="24">
        <f>+B44/B23-1</f>
        <v>0</v>
      </c>
      <c r="C45" s="24">
        <f>+C44/C23-1</f>
        <v>-2.3066152489358838E-2</v>
      </c>
      <c r="D45" s="24">
        <f>+D44/D23-1</f>
        <v>-2.0364174099020582E-2</v>
      </c>
      <c r="E45" s="24">
        <f>+E44/E23-1</f>
        <v>-4.0728348198041164E-2</v>
      </c>
    </row>
    <row r="47" spans="1:5" ht="15" thickBot="1"/>
    <row r="48" spans="1:5">
      <c r="A48" s="31" t="s">
        <v>38</v>
      </c>
      <c r="B48" s="32">
        <f>+B23-B44</f>
        <v>0</v>
      </c>
      <c r="C48" s="32">
        <f>+C44-C23</f>
        <v>-935313.5</v>
      </c>
      <c r="D48" s="32">
        <f>+D44-D23</f>
        <v>-825750.5</v>
      </c>
      <c r="E48" s="32">
        <f>+E44-E23</f>
        <v>-1651501</v>
      </c>
    </row>
    <row r="49" spans="1:5" ht="15" thickBot="1">
      <c r="A49" s="33" t="s">
        <v>39</v>
      </c>
      <c r="B49" s="34"/>
      <c r="C49" s="35">
        <f>+C48/B23</f>
        <v>-2.1367015561030378E-2</v>
      </c>
      <c r="D49" s="35">
        <f>+D48/C23</f>
        <v>-2.0364174099020554E-2</v>
      </c>
      <c r="E49" s="36">
        <f>+E48/D23</f>
        <v>-4.0728348198041109E-2</v>
      </c>
    </row>
    <row r="52" spans="1:5">
      <c r="A52" t="s">
        <v>50</v>
      </c>
      <c r="C52" s="20">
        <f>+C33-C11</f>
        <v>-935313.5</v>
      </c>
      <c r="D52" s="20">
        <f>+D33-D11</f>
        <v>-825750.5</v>
      </c>
      <c r="E52" s="20">
        <f>+E33-E11</f>
        <v>-1651501</v>
      </c>
    </row>
    <row r="53" spans="1:5">
      <c r="A53" t="s">
        <v>51</v>
      </c>
      <c r="C53" s="20">
        <f>+C40-C15</f>
        <v>0</v>
      </c>
      <c r="D53" s="20">
        <f>+D40-D15</f>
        <v>0</v>
      </c>
      <c r="E53" s="20">
        <f>+E40-E15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3"/>
  <sheetViews>
    <sheetView topLeftCell="A22" workbookViewId="0">
      <selection activeCell="D38" sqref="D38:E38"/>
    </sheetView>
  </sheetViews>
  <sheetFormatPr defaultRowHeight="14.4"/>
  <cols>
    <col min="1" max="1" width="25.33203125" customWidth="1"/>
    <col min="2" max="2" width="14.44140625" style="3" customWidth="1"/>
    <col min="3" max="3" width="12.88671875" customWidth="1"/>
    <col min="4" max="6" width="12.6640625" customWidth="1"/>
  </cols>
  <sheetData>
    <row r="1" spans="1:5">
      <c r="A1" t="s">
        <v>23</v>
      </c>
    </row>
    <row r="2" spans="1:5" ht="30" customHeight="1">
      <c r="A2" s="14" t="s">
        <v>22</v>
      </c>
      <c r="B2" s="4" t="s">
        <v>4</v>
      </c>
      <c r="C2" s="5" t="s">
        <v>20</v>
      </c>
      <c r="D2" s="52" t="s">
        <v>58</v>
      </c>
      <c r="E2" s="52" t="s">
        <v>58</v>
      </c>
    </row>
    <row r="3" spans="1:5" ht="18.600000000000001" customHeight="1">
      <c r="B3" s="8" t="s">
        <v>0</v>
      </c>
      <c r="C3" s="9" t="s">
        <v>1</v>
      </c>
      <c r="D3" s="9" t="s">
        <v>2</v>
      </c>
      <c r="E3" s="9" t="s">
        <v>3</v>
      </c>
    </row>
    <row r="4" spans="1:5" ht="18.600000000000001" customHeight="1">
      <c r="A4" s="2" t="s">
        <v>5</v>
      </c>
    </row>
    <row r="5" spans="1:5" ht="18.600000000000001" customHeight="1">
      <c r="A5" s="7" t="s">
        <v>6</v>
      </c>
      <c r="B5" s="10">
        <v>20408992</v>
      </c>
      <c r="C5" s="10">
        <v>19782285</v>
      </c>
      <c r="D5" s="10">
        <v>19782285</v>
      </c>
      <c r="E5" s="10">
        <v>19782285</v>
      </c>
    </row>
    <row r="6" spans="1:5" ht="18.600000000000001" customHeight="1">
      <c r="A6" s="7" t="s">
        <v>7</v>
      </c>
      <c r="B6" s="6">
        <v>3024434</v>
      </c>
      <c r="C6" s="6">
        <v>2510128</v>
      </c>
      <c r="D6" s="6">
        <v>2510128</v>
      </c>
      <c r="E6" s="6">
        <v>2510128</v>
      </c>
    </row>
    <row r="7" spans="1:5" ht="18.600000000000001" customHeight="1">
      <c r="A7" s="7" t="s">
        <v>8</v>
      </c>
      <c r="B7" s="6">
        <v>476287</v>
      </c>
      <c r="C7" s="6">
        <v>0</v>
      </c>
      <c r="D7" s="6">
        <v>0</v>
      </c>
      <c r="E7" s="6">
        <v>0</v>
      </c>
    </row>
    <row r="8" spans="1:5" ht="18.600000000000001" customHeight="1">
      <c r="A8" s="7" t="s">
        <v>10</v>
      </c>
      <c r="B8" s="10">
        <f>SUM(B5:B7)</f>
        <v>23909713</v>
      </c>
      <c r="C8" s="10">
        <f>SUM(C5:C7)</f>
        <v>22292413</v>
      </c>
      <c r="D8" s="10">
        <f>SUM(D5:D7)</f>
        <v>22292413</v>
      </c>
      <c r="E8" s="10">
        <f>SUM(E5:E7)</f>
        <v>22292413</v>
      </c>
    </row>
    <row r="9" spans="1:5" ht="18.600000000000001" customHeight="1">
      <c r="A9" s="7"/>
      <c r="B9" s="6"/>
      <c r="C9" s="6"/>
      <c r="D9" s="6"/>
      <c r="E9" s="6"/>
    </row>
    <row r="10" spans="1:5" ht="18.600000000000001" customHeight="1">
      <c r="A10" s="7" t="s">
        <v>9</v>
      </c>
      <c r="B10" s="6">
        <v>0</v>
      </c>
      <c r="C10" s="6">
        <v>1878437</v>
      </c>
      <c r="D10" s="6">
        <f>+C10</f>
        <v>1878437</v>
      </c>
      <c r="E10" s="6">
        <f>+D10</f>
        <v>1878437</v>
      </c>
    </row>
    <row r="11" spans="1:5" ht="18.600000000000001" customHeight="1">
      <c r="A11" s="11" t="s">
        <v>19</v>
      </c>
      <c r="B11" s="10">
        <f>+B8+B10</f>
        <v>23909713</v>
      </c>
      <c r="C11" s="10">
        <f>+C8+C10</f>
        <v>24170850</v>
      </c>
      <c r="D11" s="10">
        <f>+D8+D10</f>
        <v>24170850</v>
      </c>
      <c r="E11" s="10">
        <f>+E8+E10</f>
        <v>24170850</v>
      </c>
    </row>
    <row r="12" spans="1:5" ht="18.600000000000001" customHeight="1">
      <c r="C12" s="3"/>
      <c r="D12" s="3"/>
      <c r="E12" s="3"/>
    </row>
    <row r="13" spans="1:5" ht="18.600000000000001" customHeight="1">
      <c r="A13" s="11" t="s">
        <v>11</v>
      </c>
      <c r="B13" s="6"/>
      <c r="C13" s="6"/>
      <c r="D13" s="6"/>
      <c r="E13" s="6"/>
    </row>
    <row r="14" spans="1:5" ht="18.600000000000001" customHeight="1">
      <c r="A14" s="7" t="s">
        <v>11</v>
      </c>
      <c r="B14" s="10">
        <v>18228368</v>
      </c>
      <c r="C14" s="10">
        <v>17724059</v>
      </c>
      <c r="D14" s="10">
        <f>+C14</f>
        <v>17724059</v>
      </c>
      <c r="E14" s="10">
        <f>+D14</f>
        <v>17724059</v>
      </c>
    </row>
    <row r="15" spans="1:5" ht="18.600000000000001" customHeight="1">
      <c r="A15" s="7" t="s">
        <v>18</v>
      </c>
      <c r="B15" s="10">
        <f>SUM(B14)</f>
        <v>18228368</v>
      </c>
      <c r="C15" s="10">
        <f>SUM(C14)</f>
        <v>17724059</v>
      </c>
      <c r="D15" s="10">
        <f>SUM(D14)</f>
        <v>17724059</v>
      </c>
      <c r="E15" s="10">
        <f>SUM(E14)</f>
        <v>17724059</v>
      </c>
    </row>
    <row r="16" spans="1:5" ht="18.600000000000001" customHeight="1">
      <c r="A16" s="11" t="s">
        <v>12</v>
      </c>
      <c r="B16" s="6"/>
      <c r="C16" s="6"/>
      <c r="D16" s="6"/>
      <c r="E16" s="6"/>
    </row>
    <row r="17" spans="1:5" ht="18.600000000000001" customHeight="1">
      <c r="A17" s="7" t="s">
        <v>14</v>
      </c>
      <c r="B17" s="10">
        <v>159000</v>
      </c>
      <c r="C17" s="10">
        <v>179800</v>
      </c>
      <c r="D17" s="10">
        <v>179800</v>
      </c>
      <c r="E17" s="10">
        <v>179800</v>
      </c>
    </row>
    <row r="18" spans="1:5" ht="18.600000000000001" customHeight="1">
      <c r="A18" s="7" t="s">
        <v>15</v>
      </c>
      <c r="B18" s="6">
        <v>826633</v>
      </c>
      <c r="C18" s="6">
        <v>816650</v>
      </c>
      <c r="D18" s="6">
        <v>816650</v>
      </c>
      <c r="E18" s="6">
        <v>816650</v>
      </c>
    </row>
    <row r="19" spans="1:5" ht="18.600000000000001" customHeight="1">
      <c r="A19" s="7" t="s">
        <v>12</v>
      </c>
      <c r="B19" s="6">
        <v>980991</v>
      </c>
      <c r="C19" s="6">
        <v>1136729</v>
      </c>
      <c r="D19" s="6">
        <v>1136729</v>
      </c>
      <c r="E19" s="6">
        <v>1136729</v>
      </c>
    </row>
    <row r="20" spans="1:5" ht="18.600000000000001" customHeight="1">
      <c r="A20" s="7" t="s">
        <v>16</v>
      </c>
      <c r="B20" s="6">
        <v>0</v>
      </c>
      <c r="C20" s="6">
        <v>0</v>
      </c>
      <c r="D20" s="6">
        <v>0</v>
      </c>
      <c r="E20" s="6">
        <v>0</v>
      </c>
    </row>
    <row r="21" spans="1:5" ht="18.600000000000001" customHeight="1">
      <c r="A21" s="7" t="s">
        <v>17</v>
      </c>
      <c r="B21" s="10">
        <f>SUM(B17:B20)</f>
        <v>1966624</v>
      </c>
      <c r="C21" s="10">
        <f>SUM(C17:C20)</f>
        <v>2133179</v>
      </c>
      <c r="D21" s="10">
        <f>SUM(D17:D20)</f>
        <v>2133179</v>
      </c>
      <c r="E21" s="10">
        <f>SUM(E17:E20)</f>
        <v>2133179</v>
      </c>
    </row>
    <row r="22" spans="1:5" ht="18.600000000000001" customHeight="1">
      <c r="C22" s="3"/>
      <c r="D22" s="3"/>
      <c r="E22" s="3"/>
    </row>
    <row r="23" spans="1:5" s="1" customFormat="1" ht="18.600000000000001" customHeight="1">
      <c r="A23" s="12" t="s">
        <v>13</v>
      </c>
      <c r="B23" s="13">
        <f>+B11+B15+B21</f>
        <v>44104705</v>
      </c>
      <c r="C23" s="13">
        <f>+C11+C15+C21</f>
        <v>44028088</v>
      </c>
      <c r="D23" s="13">
        <f>+D11+D15+D21</f>
        <v>44028088</v>
      </c>
      <c r="E23" s="13">
        <f>+E11+E15+E21</f>
        <v>44028088</v>
      </c>
    </row>
    <row r="26" spans="1:5">
      <c r="A26" t="s">
        <v>27</v>
      </c>
      <c r="B26" s="15">
        <f>+B8</f>
        <v>23909713</v>
      </c>
      <c r="C26" s="15">
        <f>+C8</f>
        <v>22292413</v>
      </c>
      <c r="D26" s="15">
        <f>+D8</f>
        <v>22292413</v>
      </c>
      <c r="E26" s="15">
        <f>+E8</f>
        <v>22292413</v>
      </c>
    </row>
    <row r="27" spans="1:5">
      <c r="A27" s="16" t="s">
        <v>28</v>
      </c>
      <c r="B27" s="18">
        <v>0</v>
      </c>
      <c r="C27" s="18">
        <f>+Summary!C27</f>
        <v>0.05</v>
      </c>
      <c r="D27" s="18">
        <f>+Summary!D27</f>
        <v>0</v>
      </c>
      <c r="E27" s="18">
        <f>+Summary!E27</f>
        <v>0</v>
      </c>
    </row>
    <row r="28" spans="1:5">
      <c r="A28" s="16" t="s">
        <v>26</v>
      </c>
      <c r="B28" s="19">
        <f>+B26*B27</f>
        <v>0</v>
      </c>
      <c r="C28" s="19">
        <f>+C26*C27</f>
        <v>1114620.6500000001</v>
      </c>
      <c r="D28" s="19">
        <f>+D26*D27</f>
        <v>0</v>
      </c>
      <c r="E28" s="19">
        <f>+E26*E27</f>
        <v>0</v>
      </c>
    </row>
    <row r="29" spans="1:5">
      <c r="A29" t="s">
        <v>29</v>
      </c>
      <c r="B29" s="20">
        <f>+B26-B28</f>
        <v>23909713</v>
      </c>
      <c r="C29" s="20">
        <f>+C26-C28</f>
        <v>21177792.350000001</v>
      </c>
      <c r="D29" s="20">
        <f>+D26-D28</f>
        <v>22292413</v>
      </c>
      <c r="E29" s="20">
        <f>+E26-E28</f>
        <v>22292413</v>
      </c>
    </row>
    <row r="30" spans="1:5">
      <c r="A30" t="s">
        <v>9</v>
      </c>
      <c r="B30" s="3">
        <f>+B10</f>
        <v>0</v>
      </c>
      <c r="C30" s="3">
        <f>+C10</f>
        <v>1878437</v>
      </c>
      <c r="D30" s="3">
        <f>+D10</f>
        <v>1878437</v>
      </c>
      <c r="E30" s="3">
        <f>+E10</f>
        <v>1878437</v>
      </c>
    </row>
    <row r="31" spans="1:5">
      <c r="A31" t="s">
        <v>56</v>
      </c>
      <c r="C31" s="3">
        <v>0</v>
      </c>
      <c r="D31" s="3">
        <f>+C30/2</f>
        <v>939218.5</v>
      </c>
      <c r="E31" s="3">
        <f>+C30</f>
        <v>1878437</v>
      </c>
    </row>
    <row r="32" spans="1:5">
      <c r="A32" t="s">
        <v>57</v>
      </c>
      <c r="B32" s="3">
        <v>0</v>
      </c>
      <c r="C32" s="3">
        <f>+C30-C31</f>
        <v>1878437</v>
      </c>
      <c r="D32" s="3">
        <f>+D30-D31</f>
        <v>939218.5</v>
      </c>
      <c r="E32" s="3">
        <f>+E30-E31</f>
        <v>0</v>
      </c>
    </row>
    <row r="33" spans="1:5">
      <c r="B33" s="15">
        <f>+B29+B30</f>
        <v>23909713</v>
      </c>
      <c r="C33" s="15">
        <f>+C29+C32</f>
        <v>23056229.350000001</v>
      </c>
      <c r="D33" s="15">
        <f>+D29+D32</f>
        <v>23231631.5</v>
      </c>
      <c r="E33" s="15">
        <f>+E29+E32</f>
        <v>22292413</v>
      </c>
    </row>
    <row r="35" spans="1:5">
      <c r="A35" t="s">
        <v>11</v>
      </c>
      <c r="B35" s="15">
        <f>+B15</f>
        <v>18228368</v>
      </c>
      <c r="C35" s="15">
        <f>+C15</f>
        <v>17724059</v>
      </c>
      <c r="D35" s="15">
        <f>+D15</f>
        <v>17724059</v>
      </c>
      <c r="E35" s="15">
        <f>+E15</f>
        <v>17724059</v>
      </c>
    </row>
    <row r="36" spans="1:5">
      <c r="A36" s="16" t="s">
        <v>30</v>
      </c>
      <c r="B36" s="21" t="s">
        <v>24</v>
      </c>
      <c r="C36" s="22">
        <f>IF(Summary!C36=Recap!B38,Summary!C36,Recap!B38)</f>
        <v>0</v>
      </c>
      <c r="D36" s="22">
        <f>IF(Summary!D36=Recap!C38,Summary!D36,Recap!C38)</f>
        <v>0</v>
      </c>
      <c r="E36" s="22">
        <f>IF(Summary!E36=Recap!D38,Summary!E36,Recap!D38)</f>
        <v>0</v>
      </c>
    </row>
    <row r="37" spans="1:5">
      <c r="A37" s="16" t="s">
        <v>36</v>
      </c>
      <c r="B37" s="17"/>
      <c r="C37" s="23">
        <f>+C36*C35</f>
        <v>0</v>
      </c>
      <c r="D37" s="23">
        <f>+D36*D35</f>
        <v>0</v>
      </c>
      <c r="E37" s="23">
        <f>+E36*E35+D37</f>
        <v>0</v>
      </c>
    </row>
    <row r="38" spans="1:5">
      <c r="A38" t="s">
        <v>31</v>
      </c>
      <c r="B38" s="3" t="s">
        <v>24</v>
      </c>
      <c r="C38" s="3">
        <f>+[3]Sheet1!$D$9</f>
        <v>158242</v>
      </c>
      <c r="D38" s="3">
        <f>+[3]Sheet1!$D$9</f>
        <v>158242</v>
      </c>
      <c r="E38" s="3">
        <f>+[3]Sheet1!$D$9</f>
        <v>158242</v>
      </c>
    </row>
    <row r="39" spans="1:5">
      <c r="A39" t="s">
        <v>32</v>
      </c>
      <c r="C39" s="30">
        <f>+C37/C38/100</f>
        <v>0</v>
      </c>
      <c r="D39" s="30">
        <f>+D37/D38/100</f>
        <v>0</v>
      </c>
      <c r="E39" s="30">
        <f>+E37/E38/100</f>
        <v>0</v>
      </c>
    </row>
    <row r="40" spans="1:5">
      <c r="A40" t="s">
        <v>33</v>
      </c>
      <c r="B40" s="15">
        <f>+B35+B39</f>
        <v>18228368</v>
      </c>
      <c r="C40" s="15">
        <f>+C35+C37</f>
        <v>17724059</v>
      </c>
      <c r="D40" s="15">
        <f>+D35+D37</f>
        <v>17724059</v>
      </c>
      <c r="E40" s="15">
        <f>+E35+E37</f>
        <v>17724059</v>
      </c>
    </row>
    <row r="42" spans="1:5">
      <c r="A42" t="s">
        <v>34</v>
      </c>
      <c r="B42" s="3">
        <f>+B21</f>
        <v>1966624</v>
      </c>
      <c r="C42" s="3">
        <f>+C21</f>
        <v>2133179</v>
      </c>
      <c r="D42" s="3">
        <f>+D21</f>
        <v>2133179</v>
      </c>
      <c r="E42" s="3">
        <f>+E21</f>
        <v>2133179</v>
      </c>
    </row>
    <row r="44" spans="1:5">
      <c r="A44" t="s">
        <v>35</v>
      </c>
      <c r="B44" s="15">
        <f>+B33+B40+B42</f>
        <v>44104705</v>
      </c>
      <c r="C44" s="15">
        <f>+C33+C40+C42</f>
        <v>42913467.350000001</v>
      </c>
      <c r="D44" s="15">
        <f>+D33+D40+D42</f>
        <v>43088869.5</v>
      </c>
      <c r="E44" s="15">
        <f>+E33+E40+E42</f>
        <v>42149651</v>
      </c>
    </row>
    <row r="45" spans="1:5">
      <c r="A45" t="s">
        <v>37</v>
      </c>
      <c r="B45" s="24">
        <f>+B44/B23-1</f>
        <v>0</v>
      </c>
      <c r="C45" s="24">
        <f>+C44/C23-1</f>
        <v>-2.5316126605361533E-2</v>
      </c>
      <c r="D45" s="24">
        <f>+D44/D23-1</f>
        <v>-2.1332257262681953E-2</v>
      </c>
      <c r="E45" s="24">
        <f>+E44/E23-1</f>
        <v>-4.2664514525363906E-2</v>
      </c>
    </row>
    <row r="47" spans="1:5" ht="15" thickBot="1"/>
    <row r="48" spans="1:5">
      <c r="A48" s="31" t="s">
        <v>38</v>
      </c>
      <c r="B48" s="32">
        <f>+B23-B44</f>
        <v>0</v>
      </c>
      <c r="C48" s="32">
        <f>+C44-C23</f>
        <v>-1114620.6499999985</v>
      </c>
      <c r="D48" s="32">
        <f>+D44-D23</f>
        <v>-939218.5</v>
      </c>
      <c r="E48" s="32">
        <f>+E44-E23</f>
        <v>-1878437</v>
      </c>
    </row>
    <row r="49" spans="1:5" ht="15" thickBot="1">
      <c r="A49" s="33" t="s">
        <v>39</v>
      </c>
      <c r="B49" s="34"/>
      <c r="C49" s="35">
        <f>+C48/B23</f>
        <v>-2.5272148402307612E-2</v>
      </c>
      <c r="D49" s="35">
        <f>+D48/C23</f>
        <v>-2.1332257262681949E-2</v>
      </c>
      <c r="E49" s="36">
        <f>+E48/D23</f>
        <v>-4.2664514525363899E-2</v>
      </c>
    </row>
    <row r="52" spans="1:5">
      <c r="A52" t="s">
        <v>50</v>
      </c>
      <c r="C52" s="20">
        <f>+C33-C11</f>
        <v>-1114620.6499999985</v>
      </c>
      <c r="D52" s="20">
        <f>+D33-D11</f>
        <v>-939218.5</v>
      </c>
      <c r="E52" s="20">
        <f>+E33-E11</f>
        <v>-1878437</v>
      </c>
    </row>
    <row r="53" spans="1:5">
      <c r="A53" t="s">
        <v>51</v>
      </c>
      <c r="C53" s="20">
        <f>+C40-C15</f>
        <v>0</v>
      </c>
      <c r="D53" s="20">
        <f>+D40-D15</f>
        <v>0</v>
      </c>
      <c r="E53" s="20">
        <f>+E40-E15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3"/>
  <sheetViews>
    <sheetView topLeftCell="A25" workbookViewId="0">
      <selection activeCell="D38" sqref="D38:E38"/>
    </sheetView>
  </sheetViews>
  <sheetFormatPr defaultRowHeight="14.4"/>
  <cols>
    <col min="1" max="1" width="25.33203125" customWidth="1"/>
    <col min="2" max="2" width="14.44140625" style="3" customWidth="1"/>
    <col min="3" max="3" width="12.88671875" customWidth="1"/>
    <col min="4" max="6" width="12.6640625" customWidth="1"/>
  </cols>
  <sheetData>
    <row r="1" spans="1:5">
      <c r="A1" t="s">
        <v>23</v>
      </c>
    </row>
    <row r="2" spans="1:5" ht="30" customHeight="1">
      <c r="A2" s="14" t="s">
        <v>22</v>
      </c>
      <c r="B2" s="4" t="s">
        <v>4</v>
      </c>
      <c r="C2" s="5" t="s">
        <v>20</v>
      </c>
      <c r="D2" s="5" t="s">
        <v>21</v>
      </c>
      <c r="E2" s="5" t="s">
        <v>21</v>
      </c>
    </row>
    <row r="3" spans="1:5" ht="18.600000000000001" customHeight="1">
      <c r="B3" s="8" t="s">
        <v>0</v>
      </c>
      <c r="C3" s="9" t="s">
        <v>1</v>
      </c>
      <c r="D3" s="9" t="s">
        <v>2</v>
      </c>
      <c r="E3" s="9" t="s">
        <v>3</v>
      </c>
    </row>
    <row r="4" spans="1:5" ht="18.600000000000001" customHeight="1">
      <c r="A4" s="2" t="s">
        <v>5</v>
      </c>
    </row>
    <row r="5" spans="1:5" ht="18.600000000000001" customHeight="1">
      <c r="A5" s="7" t="s">
        <v>6</v>
      </c>
      <c r="B5" s="10">
        <v>35737443</v>
      </c>
      <c r="C5" s="10">
        <v>33394112</v>
      </c>
      <c r="D5" s="10">
        <v>33394112</v>
      </c>
      <c r="E5" s="10">
        <v>33394112</v>
      </c>
    </row>
    <row r="6" spans="1:5" ht="18.600000000000001" customHeight="1">
      <c r="A6" s="7" t="s">
        <v>7</v>
      </c>
      <c r="B6" s="6">
        <v>5339793</v>
      </c>
      <c r="C6" s="6">
        <v>5034776</v>
      </c>
      <c r="D6" s="6">
        <v>5034776</v>
      </c>
      <c r="E6" s="6">
        <v>5034776</v>
      </c>
    </row>
    <row r="7" spans="1:5" ht="18.600000000000001" customHeight="1">
      <c r="A7" s="7" t="s">
        <v>8</v>
      </c>
      <c r="B7" s="6">
        <v>840909</v>
      </c>
      <c r="C7" s="6">
        <v>0</v>
      </c>
      <c r="D7" s="6">
        <v>0</v>
      </c>
      <c r="E7" s="6">
        <v>0</v>
      </c>
    </row>
    <row r="8" spans="1:5" ht="18.600000000000001" customHeight="1">
      <c r="A8" s="7" t="s">
        <v>10</v>
      </c>
      <c r="B8" s="10">
        <f>SUM(B5:B7)</f>
        <v>41918145</v>
      </c>
      <c r="C8" s="10">
        <f>SUM(C5:C7)</f>
        <v>38428888</v>
      </c>
      <c r="D8" s="10">
        <f>SUM(D5:D7)</f>
        <v>38428888</v>
      </c>
      <c r="E8" s="10">
        <f>SUM(E5:E7)</f>
        <v>38428888</v>
      </c>
    </row>
    <row r="9" spans="1:5" ht="18.600000000000001" customHeight="1">
      <c r="A9" s="7"/>
      <c r="B9" s="6"/>
      <c r="C9" s="6"/>
      <c r="D9" s="6"/>
      <c r="E9" s="6"/>
    </row>
    <row r="10" spans="1:5" ht="18.600000000000001" customHeight="1">
      <c r="A10" s="7" t="s">
        <v>9</v>
      </c>
      <c r="B10" s="6">
        <v>0</v>
      </c>
      <c r="C10" s="6">
        <v>3306672</v>
      </c>
      <c r="D10" s="6">
        <f>+C10</f>
        <v>3306672</v>
      </c>
      <c r="E10" s="6">
        <f>+D10</f>
        <v>3306672</v>
      </c>
    </row>
    <row r="11" spans="1:5" ht="18.600000000000001" customHeight="1">
      <c r="A11" s="11" t="s">
        <v>19</v>
      </c>
      <c r="B11" s="10">
        <f>+B8+B10</f>
        <v>41918145</v>
      </c>
      <c r="C11" s="10">
        <f>+C8+C10</f>
        <v>41735560</v>
      </c>
      <c r="D11" s="10">
        <f>+D8+D10</f>
        <v>41735560</v>
      </c>
      <c r="E11" s="10">
        <f>+E8+E10</f>
        <v>41735560</v>
      </c>
    </row>
    <row r="12" spans="1:5" ht="18.600000000000001" customHeight="1">
      <c r="C12" s="3"/>
      <c r="D12" s="3"/>
      <c r="E12" s="3"/>
    </row>
    <row r="13" spans="1:5" ht="18.600000000000001" customHeight="1">
      <c r="A13" s="11" t="s">
        <v>11</v>
      </c>
      <c r="B13" s="6"/>
      <c r="C13" s="6"/>
      <c r="D13" s="6"/>
      <c r="E13" s="6"/>
    </row>
    <row r="14" spans="1:5" ht="18.600000000000001" customHeight="1">
      <c r="A14" s="7" t="s">
        <v>11</v>
      </c>
      <c r="B14" s="10">
        <v>38037458</v>
      </c>
      <c r="C14" s="10">
        <v>39363399</v>
      </c>
      <c r="D14" s="10">
        <f>+C14</f>
        <v>39363399</v>
      </c>
      <c r="E14" s="10">
        <f>+D14</f>
        <v>39363399</v>
      </c>
    </row>
    <row r="15" spans="1:5" ht="18.600000000000001" customHeight="1">
      <c r="A15" s="7" t="s">
        <v>18</v>
      </c>
      <c r="B15" s="10">
        <f>SUM(B14)</f>
        <v>38037458</v>
      </c>
      <c r="C15" s="10">
        <f>SUM(C14)</f>
        <v>39363399</v>
      </c>
      <c r="D15" s="10">
        <f>SUM(D14)</f>
        <v>39363399</v>
      </c>
      <c r="E15" s="10">
        <f>SUM(E14)</f>
        <v>39363399</v>
      </c>
    </row>
    <row r="16" spans="1:5" ht="18.600000000000001" customHeight="1">
      <c r="A16" s="11" t="s">
        <v>12</v>
      </c>
      <c r="B16" s="6"/>
      <c r="C16" s="6"/>
      <c r="D16" s="6"/>
      <c r="E16" s="6"/>
    </row>
    <row r="17" spans="1:5" ht="18.600000000000001" customHeight="1">
      <c r="A17" s="7" t="s">
        <v>14</v>
      </c>
      <c r="B17" s="10">
        <v>3500000</v>
      </c>
      <c r="C17" s="10">
        <v>3500000</v>
      </c>
      <c r="D17" s="10">
        <v>3500000</v>
      </c>
      <c r="E17" s="10">
        <v>3500000</v>
      </c>
    </row>
    <row r="18" spans="1:5" ht="18.600000000000001" customHeight="1">
      <c r="A18" s="7" t="s">
        <v>15</v>
      </c>
      <c r="B18" s="6">
        <v>546565</v>
      </c>
      <c r="C18" s="6">
        <v>546565</v>
      </c>
      <c r="D18" s="6">
        <v>546565</v>
      </c>
      <c r="E18" s="6">
        <v>546565</v>
      </c>
    </row>
    <row r="19" spans="1:5" ht="18.600000000000001" customHeight="1">
      <c r="A19" s="7" t="s">
        <v>12</v>
      </c>
      <c r="B19" s="6">
        <v>11191137</v>
      </c>
      <c r="C19" s="6">
        <v>2933309</v>
      </c>
      <c r="D19" s="6">
        <v>2933309</v>
      </c>
      <c r="E19" s="6">
        <v>2933309</v>
      </c>
    </row>
    <row r="20" spans="1:5" ht="18.600000000000001" customHeight="1">
      <c r="A20" s="7" t="s">
        <v>16</v>
      </c>
      <c r="B20" s="6">
        <v>0</v>
      </c>
      <c r="C20" s="6">
        <v>0</v>
      </c>
      <c r="D20" s="6">
        <v>0</v>
      </c>
      <c r="E20" s="6">
        <v>0</v>
      </c>
    </row>
    <row r="21" spans="1:5" ht="18.600000000000001" customHeight="1">
      <c r="A21" s="7" t="s">
        <v>17</v>
      </c>
      <c r="B21" s="10">
        <f>SUM(B17:B20)</f>
        <v>15237702</v>
      </c>
      <c r="C21" s="10">
        <f>SUM(C17:C20)</f>
        <v>6979874</v>
      </c>
      <c r="D21" s="10">
        <f>SUM(D17:D20)</f>
        <v>6979874</v>
      </c>
      <c r="E21" s="10">
        <f>SUM(E17:E20)</f>
        <v>6979874</v>
      </c>
    </row>
    <row r="22" spans="1:5" ht="18.600000000000001" customHeight="1">
      <c r="C22" s="3"/>
      <c r="D22" s="3"/>
      <c r="E22" s="3"/>
    </row>
    <row r="23" spans="1:5" s="1" customFormat="1" ht="18.600000000000001" customHeight="1">
      <c r="A23" s="12" t="s">
        <v>13</v>
      </c>
      <c r="B23" s="13">
        <f>+B11+B15+B21</f>
        <v>95193305</v>
      </c>
      <c r="C23" s="13">
        <f>+C11+C15+C21</f>
        <v>88078833</v>
      </c>
      <c r="D23" s="13">
        <f>+D11+D15+D21</f>
        <v>88078833</v>
      </c>
      <c r="E23" s="13">
        <f>+E11+E15+E21</f>
        <v>88078833</v>
      </c>
    </row>
    <row r="26" spans="1:5">
      <c r="A26" t="s">
        <v>27</v>
      </c>
      <c r="B26" s="15">
        <f>+B8</f>
        <v>41918145</v>
      </c>
      <c r="C26" s="15">
        <f>+C8</f>
        <v>38428888</v>
      </c>
      <c r="D26" s="15">
        <f>+D8</f>
        <v>38428888</v>
      </c>
      <c r="E26" s="15">
        <f>+E8</f>
        <v>38428888</v>
      </c>
    </row>
    <row r="27" spans="1:5">
      <c r="A27" s="16" t="s">
        <v>28</v>
      </c>
      <c r="B27" s="18">
        <v>0</v>
      </c>
      <c r="C27" s="18">
        <f>+Summary!C27</f>
        <v>0.05</v>
      </c>
      <c r="D27" s="18">
        <f>+Summary!D27</f>
        <v>0</v>
      </c>
      <c r="E27" s="18">
        <f>+Summary!E27</f>
        <v>0</v>
      </c>
    </row>
    <row r="28" spans="1:5">
      <c r="A28" s="16" t="s">
        <v>26</v>
      </c>
      <c r="B28" s="19">
        <f>+B26*B27</f>
        <v>0</v>
      </c>
      <c r="C28" s="19">
        <f>+C26*C27</f>
        <v>1921444.4000000001</v>
      </c>
      <c r="D28" s="19">
        <f>+D26*D27</f>
        <v>0</v>
      </c>
      <c r="E28" s="19">
        <f>+E26*E27</f>
        <v>0</v>
      </c>
    </row>
    <row r="29" spans="1:5">
      <c r="A29" t="s">
        <v>29</v>
      </c>
      <c r="B29" s="20">
        <f>+B26-B28</f>
        <v>41918145</v>
      </c>
      <c r="C29" s="20">
        <f>+C26-C28</f>
        <v>36507443.600000001</v>
      </c>
      <c r="D29" s="20">
        <f>+D26-D28</f>
        <v>38428888</v>
      </c>
      <c r="E29" s="20">
        <f>+E26-E28</f>
        <v>38428888</v>
      </c>
    </row>
    <row r="30" spans="1:5">
      <c r="A30" t="s">
        <v>9</v>
      </c>
      <c r="B30" s="3">
        <f>+B10</f>
        <v>0</v>
      </c>
      <c r="C30" s="3">
        <f>+C10</f>
        <v>3306672</v>
      </c>
      <c r="D30" s="3">
        <f>+D10</f>
        <v>3306672</v>
      </c>
      <c r="E30" s="3">
        <f>+E10</f>
        <v>3306672</v>
      </c>
    </row>
    <row r="31" spans="1:5">
      <c r="A31" t="s">
        <v>56</v>
      </c>
      <c r="C31" s="3">
        <v>0</v>
      </c>
      <c r="D31" s="3">
        <f>+C30/2</f>
        <v>1653336</v>
      </c>
      <c r="E31" s="3">
        <f>+C30</f>
        <v>3306672</v>
      </c>
    </row>
    <row r="32" spans="1:5">
      <c r="A32" t="s">
        <v>57</v>
      </c>
      <c r="B32" s="3">
        <v>0</v>
      </c>
      <c r="C32" s="3">
        <f>+C30-C31</f>
        <v>3306672</v>
      </c>
      <c r="D32" s="3">
        <f>+D30-D31</f>
        <v>1653336</v>
      </c>
      <c r="E32" s="3">
        <f>+E30-E31</f>
        <v>0</v>
      </c>
    </row>
    <row r="33" spans="1:5">
      <c r="B33" s="15">
        <f>+B29+B30</f>
        <v>41918145</v>
      </c>
      <c r="C33" s="15">
        <f>+C29+C32</f>
        <v>39814115.600000001</v>
      </c>
      <c r="D33" s="15">
        <f>+D29+D32</f>
        <v>40082224</v>
      </c>
      <c r="E33" s="15">
        <f>+E29+E32</f>
        <v>38428888</v>
      </c>
    </row>
    <row r="35" spans="1:5">
      <c r="A35" t="s">
        <v>11</v>
      </c>
      <c r="B35" s="15">
        <f>+B15</f>
        <v>38037458</v>
      </c>
      <c r="C35" s="15">
        <f>+C15</f>
        <v>39363399</v>
      </c>
      <c r="D35" s="15">
        <f>+D15</f>
        <v>39363399</v>
      </c>
      <c r="E35" s="15">
        <f>+E15</f>
        <v>39363399</v>
      </c>
    </row>
    <row r="36" spans="1:5">
      <c r="A36" s="16" t="s">
        <v>30</v>
      </c>
      <c r="B36" s="21" t="s">
        <v>24</v>
      </c>
      <c r="C36" s="22">
        <f>IF(Summary!C36=Recap!B38,Summary!C36,Recap!B38)</f>
        <v>0</v>
      </c>
      <c r="D36" s="22">
        <f>IF(Summary!D36=Recap!C38,Summary!D36,Recap!C38)</f>
        <v>0</v>
      </c>
      <c r="E36" s="22">
        <f>IF(Summary!E36=Recap!D38,Summary!E36,Recap!D38)</f>
        <v>0</v>
      </c>
    </row>
    <row r="37" spans="1:5">
      <c r="A37" s="16" t="s">
        <v>36</v>
      </c>
      <c r="B37" s="17"/>
      <c r="C37" s="23">
        <f>+C36*C35</f>
        <v>0</v>
      </c>
      <c r="D37" s="23">
        <f>+D36*D35</f>
        <v>0</v>
      </c>
      <c r="E37" s="23">
        <f>+E36*E35+D37</f>
        <v>0</v>
      </c>
    </row>
    <row r="38" spans="1:5">
      <c r="A38" t="s">
        <v>31</v>
      </c>
      <c r="B38" s="3" t="s">
        <v>24</v>
      </c>
      <c r="C38" s="3">
        <f>+[3]Sheet1!$D$10</f>
        <v>378948</v>
      </c>
      <c r="D38" s="3">
        <f>+[3]Sheet1!$D$10</f>
        <v>378948</v>
      </c>
      <c r="E38" s="3">
        <f>+[3]Sheet1!$D$10</f>
        <v>378948</v>
      </c>
    </row>
    <row r="39" spans="1:5">
      <c r="A39" t="s">
        <v>32</v>
      </c>
      <c r="C39" s="30">
        <f>+C37/C38/100</f>
        <v>0</v>
      </c>
      <c r="D39" s="30">
        <f>+D37/D38/100</f>
        <v>0</v>
      </c>
      <c r="E39" s="30">
        <f>+E37/E38/100</f>
        <v>0</v>
      </c>
    </row>
    <row r="40" spans="1:5">
      <c r="A40" t="s">
        <v>33</v>
      </c>
      <c r="B40" s="15">
        <f>+B35+B39</f>
        <v>38037458</v>
      </c>
      <c r="C40" s="15">
        <f>+C35+C37</f>
        <v>39363399</v>
      </c>
      <c r="D40" s="15">
        <f>+D35+D37</f>
        <v>39363399</v>
      </c>
      <c r="E40" s="15">
        <f>+E35+E37</f>
        <v>39363399</v>
      </c>
    </row>
    <row r="42" spans="1:5">
      <c r="A42" t="s">
        <v>34</v>
      </c>
      <c r="B42" s="3">
        <f>+B21</f>
        <v>15237702</v>
      </c>
      <c r="C42" s="3">
        <f>+C21</f>
        <v>6979874</v>
      </c>
      <c r="D42" s="3">
        <f>+D21</f>
        <v>6979874</v>
      </c>
      <c r="E42" s="3">
        <f>+E21</f>
        <v>6979874</v>
      </c>
    </row>
    <row r="44" spans="1:5">
      <c r="A44" t="s">
        <v>35</v>
      </c>
      <c r="B44" s="15">
        <f>+B33+B40+B42</f>
        <v>95193305</v>
      </c>
      <c r="C44" s="15">
        <f>+C33+C40+C42</f>
        <v>86157388.599999994</v>
      </c>
      <c r="D44" s="15">
        <f>+D33+D40+D42</f>
        <v>86425497</v>
      </c>
      <c r="E44" s="15">
        <f>+E33+E40+E42</f>
        <v>84772161</v>
      </c>
    </row>
    <row r="45" spans="1:5">
      <c r="A45" t="s">
        <v>37</v>
      </c>
      <c r="B45" s="24">
        <f>+B44/B23-1</f>
        <v>0</v>
      </c>
      <c r="C45" s="24">
        <f>+C44/C23-1</f>
        <v>-2.18150528856349E-2</v>
      </c>
      <c r="D45" s="24">
        <f>+D44/D23-1</f>
        <v>-1.8771093390849036E-2</v>
      </c>
      <c r="E45" s="24">
        <f>+E44/E23-1</f>
        <v>-3.7542186781698184E-2</v>
      </c>
    </row>
    <row r="47" spans="1:5" ht="15" thickBot="1"/>
    <row r="48" spans="1:5">
      <c r="A48" s="31" t="s">
        <v>38</v>
      </c>
      <c r="B48" s="32">
        <f>+B23-B44</f>
        <v>0</v>
      </c>
      <c r="C48" s="32">
        <f>+C44-C23</f>
        <v>-1921444.400000006</v>
      </c>
      <c r="D48" s="32">
        <f>+D44-D23</f>
        <v>-1653336</v>
      </c>
      <c r="E48" s="32">
        <f>+E44-E23</f>
        <v>-3306672</v>
      </c>
    </row>
    <row r="49" spans="1:5" ht="15" thickBot="1">
      <c r="A49" s="33" t="s">
        <v>39</v>
      </c>
      <c r="B49" s="34"/>
      <c r="C49" s="35">
        <f>+C48/B23</f>
        <v>-2.0184658994663606E-2</v>
      </c>
      <c r="D49" s="35">
        <f>+D48/C23</f>
        <v>-1.8771093390849081E-2</v>
      </c>
      <c r="E49" s="36">
        <f>+E48/D23</f>
        <v>-3.7542186781698163E-2</v>
      </c>
    </row>
    <row r="52" spans="1:5">
      <c r="A52" t="s">
        <v>50</v>
      </c>
      <c r="C52" s="20">
        <f>+C33-C11</f>
        <v>-1921444.3999999985</v>
      </c>
      <c r="D52" s="20">
        <f>+D33-D11</f>
        <v>-1653336</v>
      </c>
      <c r="E52" s="20">
        <f>+E33-E11</f>
        <v>-3306672</v>
      </c>
    </row>
    <row r="53" spans="1:5">
      <c r="A53" t="s">
        <v>51</v>
      </c>
      <c r="C53" s="20">
        <f>+C40-C15</f>
        <v>0</v>
      </c>
      <c r="D53" s="20">
        <f>+D40-D15</f>
        <v>0</v>
      </c>
      <c r="E53" s="20">
        <f>+E40-E15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3"/>
  <sheetViews>
    <sheetView topLeftCell="A31" workbookViewId="0">
      <selection activeCell="D38" sqref="D38:E38"/>
    </sheetView>
  </sheetViews>
  <sheetFormatPr defaultRowHeight="14.4"/>
  <cols>
    <col min="1" max="1" width="25.33203125" customWidth="1"/>
    <col min="2" max="2" width="14.44140625" style="3" customWidth="1"/>
    <col min="3" max="3" width="14.33203125" customWidth="1"/>
    <col min="4" max="4" width="14.109375" customWidth="1"/>
    <col min="5" max="5" width="13.77734375" customWidth="1"/>
    <col min="6" max="6" width="12.6640625" customWidth="1"/>
  </cols>
  <sheetData>
    <row r="1" spans="1:5">
      <c r="A1" t="s">
        <v>23</v>
      </c>
    </row>
    <row r="2" spans="1:5" ht="30" customHeight="1">
      <c r="A2" s="14" t="s">
        <v>22</v>
      </c>
      <c r="B2" s="4" t="s">
        <v>4</v>
      </c>
      <c r="C2" s="5" t="s">
        <v>20</v>
      </c>
      <c r="D2" s="5" t="s">
        <v>21</v>
      </c>
      <c r="E2" s="5" t="s">
        <v>21</v>
      </c>
    </row>
    <row r="3" spans="1:5" ht="18.600000000000001" customHeight="1">
      <c r="B3" s="8" t="s">
        <v>0</v>
      </c>
      <c r="C3" s="9" t="s">
        <v>1</v>
      </c>
      <c r="D3" s="9" t="s">
        <v>2</v>
      </c>
      <c r="E3" s="9" t="s">
        <v>3</v>
      </c>
    </row>
    <row r="4" spans="1:5" ht="18.600000000000001" customHeight="1">
      <c r="A4" s="2" t="s">
        <v>5</v>
      </c>
    </row>
    <row r="5" spans="1:5" ht="18.600000000000001" customHeight="1">
      <c r="A5" s="7" t="s">
        <v>6</v>
      </c>
      <c r="B5" s="10">
        <v>85740338</v>
      </c>
      <c r="C5" s="10">
        <v>80397136</v>
      </c>
      <c r="D5" s="10">
        <v>80397136</v>
      </c>
      <c r="E5" s="10">
        <v>80397136</v>
      </c>
    </row>
    <row r="6" spans="1:5" ht="18.600000000000001" customHeight="1">
      <c r="A6" s="7" t="s">
        <v>7</v>
      </c>
      <c r="B6" s="6">
        <v>13031079</v>
      </c>
      <c r="C6" s="6">
        <v>12275702</v>
      </c>
      <c r="D6" s="6">
        <v>12275702</v>
      </c>
      <c r="E6" s="6">
        <v>12275702</v>
      </c>
    </row>
    <row r="7" spans="1:5" ht="18.600000000000001" customHeight="1">
      <c r="A7" s="7" t="s">
        <v>8</v>
      </c>
      <c r="B7" s="6">
        <v>2052130</v>
      </c>
      <c r="C7" s="6">
        <v>0</v>
      </c>
      <c r="D7" s="6">
        <v>0</v>
      </c>
      <c r="E7" s="6">
        <v>0</v>
      </c>
    </row>
    <row r="8" spans="1:5" ht="18.600000000000001" customHeight="1">
      <c r="A8" s="7" t="s">
        <v>10</v>
      </c>
      <c r="B8" s="10">
        <f>SUM(B5:B7)</f>
        <v>100823547</v>
      </c>
      <c r="C8" s="10">
        <f>SUM(C5:C7)</f>
        <v>92672838</v>
      </c>
      <c r="D8" s="10">
        <f>SUM(D5:D7)</f>
        <v>92672838</v>
      </c>
      <c r="E8" s="10">
        <f>SUM(E5:E7)</f>
        <v>92672838</v>
      </c>
    </row>
    <row r="9" spans="1:5" ht="18.600000000000001" customHeight="1">
      <c r="A9" s="7"/>
      <c r="B9" s="6"/>
      <c r="C9" s="6"/>
      <c r="D9" s="6"/>
      <c r="E9" s="6"/>
    </row>
    <row r="10" spans="1:5" ht="18.600000000000001" customHeight="1">
      <c r="A10" s="7" t="s">
        <v>9</v>
      </c>
      <c r="B10" s="6">
        <v>0</v>
      </c>
      <c r="C10" s="6">
        <v>8062269</v>
      </c>
      <c r="D10" s="6">
        <f>+C10</f>
        <v>8062269</v>
      </c>
      <c r="E10" s="6">
        <f>+D10</f>
        <v>8062269</v>
      </c>
    </row>
    <row r="11" spans="1:5" ht="18.600000000000001" customHeight="1">
      <c r="A11" s="11" t="s">
        <v>19</v>
      </c>
      <c r="B11" s="10">
        <f>+B8+B10</f>
        <v>100823547</v>
      </c>
      <c r="C11" s="10">
        <f>+C8+C10</f>
        <v>100735107</v>
      </c>
      <c r="D11" s="10">
        <f>+D8+D10</f>
        <v>100735107</v>
      </c>
      <c r="E11" s="10">
        <f>+E8+E10</f>
        <v>100735107</v>
      </c>
    </row>
    <row r="12" spans="1:5" ht="18.600000000000001" customHeight="1">
      <c r="C12" s="3"/>
      <c r="D12" s="3"/>
      <c r="E12" s="3"/>
    </row>
    <row r="13" spans="1:5" ht="18.600000000000001" customHeight="1">
      <c r="A13" s="11" t="s">
        <v>11</v>
      </c>
      <c r="B13" s="6"/>
      <c r="C13" s="6"/>
      <c r="D13" s="6"/>
      <c r="E13" s="6"/>
    </row>
    <row r="14" spans="1:5" ht="18.600000000000001" customHeight="1">
      <c r="A14" s="7" t="s">
        <v>11</v>
      </c>
      <c r="B14" s="10">
        <v>101374729</v>
      </c>
      <c r="C14" s="10">
        <v>106649242</v>
      </c>
      <c r="D14" s="10">
        <f>+C14</f>
        <v>106649242</v>
      </c>
      <c r="E14" s="10">
        <f>+D14</f>
        <v>106649242</v>
      </c>
    </row>
    <row r="15" spans="1:5" ht="18.600000000000001" customHeight="1">
      <c r="A15" s="7" t="s">
        <v>18</v>
      </c>
      <c r="B15" s="10">
        <f>SUM(B14)</f>
        <v>101374729</v>
      </c>
      <c r="C15" s="10">
        <f>SUM(C14)</f>
        <v>106649242</v>
      </c>
      <c r="D15" s="10">
        <f>SUM(D14)</f>
        <v>106649242</v>
      </c>
      <c r="E15" s="10">
        <f>SUM(E14)</f>
        <v>106649242</v>
      </c>
    </row>
    <row r="16" spans="1:5" ht="18.600000000000001" customHeight="1">
      <c r="A16" s="11" t="s">
        <v>12</v>
      </c>
      <c r="B16" s="6"/>
      <c r="C16" s="6"/>
      <c r="D16" s="6"/>
      <c r="E16" s="6"/>
    </row>
    <row r="17" spans="1:5" ht="18.600000000000001" customHeight="1">
      <c r="A17" s="7" t="s">
        <v>14</v>
      </c>
      <c r="B17" s="10">
        <v>5425376</v>
      </c>
      <c r="C17" s="10">
        <v>5975376</v>
      </c>
      <c r="D17" s="10">
        <v>5975376</v>
      </c>
      <c r="E17" s="10">
        <v>5975376</v>
      </c>
    </row>
    <row r="18" spans="1:5" ht="18.600000000000001" customHeight="1">
      <c r="A18" s="7" t="s">
        <v>15</v>
      </c>
      <c r="B18" s="6">
        <v>4728620</v>
      </c>
      <c r="C18" s="6">
        <v>5329456</v>
      </c>
      <c r="D18" s="6">
        <v>5329456</v>
      </c>
      <c r="E18" s="6">
        <v>5329456</v>
      </c>
    </row>
    <row r="19" spans="1:5" ht="18.600000000000001" customHeight="1">
      <c r="A19" s="7" t="s">
        <v>12</v>
      </c>
      <c r="B19" s="6">
        <v>8417833</v>
      </c>
      <c r="C19" s="6">
        <v>9018392</v>
      </c>
      <c r="D19" s="6">
        <v>9018392</v>
      </c>
      <c r="E19" s="6">
        <v>9018392</v>
      </c>
    </row>
    <row r="20" spans="1:5" ht="18.600000000000001" customHeight="1">
      <c r="A20" s="7" t="s">
        <v>16</v>
      </c>
      <c r="B20" s="6">
        <v>0</v>
      </c>
      <c r="C20" s="6">
        <v>0</v>
      </c>
      <c r="D20" s="6">
        <v>0</v>
      </c>
      <c r="E20" s="6">
        <v>0</v>
      </c>
    </row>
    <row r="21" spans="1:5" ht="18.600000000000001" customHeight="1">
      <c r="A21" s="7" t="s">
        <v>17</v>
      </c>
      <c r="B21" s="10">
        <f>SUM(B17:B20)</f>
        <v>18571829</v>
      </c>
      <c r="C21" s="10">
        <f>SUM(C17:C20)</f>
        <v>20323224</v>
      </c>
      <c r="D21" s="10">
        <f>SUM(D17:D20)</f>
        <v>20323224</v>
      </c>
      <c r="E21" s="10">
        <f>SUM(E17:E20)</f>
        <v>20323224</v>
      </c>
    </row>
    <row r="22" spans="1:5" ht="18.600000000000001" customHeight="1">
      <c r="C22" s="3"/>
      <c r="D22" s="3"/>
      <c r="E22" s="3"/>
    </row>
    <row r="23" spans="1:5" s="1" customFormat="1" ht="18.600000000000001" customHeight="1">
      <c r="A23" s="12" t="s">
        <v>13</v>
      </c>
      <c r="B23" s="13">
        <f>+B11+B15+B21</f>
        <v>220770105</v>
      </c>
      <c r="C23" s="13">
        <f>+C11+C15+C21</f>
        <v>227707573</v>
      </c>
      <c r="D23" s="13">
        <f>+D11+D15+D21</f>
        <v>227707573</v>
      </c>
      <c r="E23" s="13">
        <f>+E11+E15+E21</f>
        <v>227707573</v>
      </c>
    </row>
    <row r="26" spans="1:5">
      <c r="A26" t="s">
        <v>27</v>
      </c>
      <c r="B26" s="15">
        <f>+B8</f>
        <v>100823547</v>
      </c>
      <c r="C26" s="15">
        <f>+C8</f>
        <v>92672838</v>
      </c>
      <c r="D26" s="15">
        <f>+D8</f>
        <v>92672838</v>
      </c>
      <c r="E26" s="15">
        <f>+E8</f>
        <v>92672838</v>
      </c>
    </row>
    <row r="27" spans="1:5">
      <c r="A27" s="16" t="s">
        <v>28</v>
      </c>
      <c r="B27" s="18">
        <v>0</v>
      </c>
      <c r="C27" s="18">
        <f>+Summary!C27</f>
        <v>0.05</v>
      </c>
      <c r="D27" s="18">
        <f>+Summary!D27</f>
        <v>0</v>
      </c>
      <c r="E27" s="18">
        <f>+Summary!E27</f>
        <v>0</v>
      </c>
    </row>
    <row r="28" spans="1:5">
      <c r="A28" s="16" t="s">
        <v>26</v>
      </c>
      <c r="B28" s="19">
        <f>+B26*B27</f>
        <v>0</v>
      </c>
      <c r="C28" s="19">
        <f>+C26*C27</f>
        <v>4633641.9000000004</v>
      </c>
      <c r="D28" s="19">
        <f>+D26*D27</f>
        <v>0</v>
      </c>
      <c r="E28" s="19">
        <f>+E26*E27</f>
        <v>0</v>
      </c>
    </row>
    <row r="29" spans="1:5">
      <c r="A29" t="s">
        <v>29</v>
      </c>
      <c r="B29" s="20">
        <f>+B26-B28</f>
        <v>100823547</v>
      </c>
      <c r="C29" s="20">
        <f>+C26-C28</f>
        <v>88039196.099999994</v>
      </c>
      <c r="D29" s="20">
        <f>+D26-D28</f>
        <v>92672838</v>
      </c>
      <c r="E29" s="20">
        <f>+E26-E28</f>
        <v>92672838</v>
      </c>
    </row>
    <row r="30" spans="1:5">
      <c r="A30" t="s">
        <v>9</v>
      </c>
      <c r="B30" s="3">
        <f>+B10</f>
        <v>0</v>
      </c>
      <c r="C30" s="3">
        <f>+C10</f>
        <v>8062269</v>
      </c>
      <c r="D30" s="3">
        <f>+D10</f>
        <v>8062269</v>
      </c>
      <c r="E30" s="3">
        <f>+E10</f>
        <v>8062269</v>
      </c>
    </row>
    <row r="31" spans="1:5">
      <c r="A31" t="s">
        <v>56</v>
      </c>
      <c r="C31" s="3">
        <v>0</v>
      </c>
      <c r="D31" s="3">
        <f>+C30/2</f>
        <v>4031134.5</v>
      </c>
      <c r="E31" s="3">
        <f>+C30</f>
        <v>8062269</v>
      </c>
    </row>
    <row r="32" spans="1:5">
      <c r="A32" t="s">
        <v>57</v>
      </c>
      <c r="B32" s="3">
        <v>0</v>
      </c>
      <c r="C32" s="3">
        <f>+C30-C31</f>
        <v>8062269</v>
      </c>
      <c r="D32" s="3">
        <f>+D30-D31</f>
        <v>4031134.5</v>
      </c>
      <c r="E32" s="3">
        <f>+E30-E31</f>
        <v>0</v>
      </c>
    </row>
    <row r="33" spans="1:5">
      <c r="B33" s="15">
        <f>+B29+B30</f>
        <v>100823547</v>
      </c>
      <c r="C33" s="15">
        <f>+C29+C32</f>
        <v>96101465.099999994</v>
      </c>
      <c r="D33" s="15">
        <f>+D29+D32</f>
        <v>96703972.5</v>
      </c>
      <c r="E33" s="15">
        <f>+E29+E32</f>
        <v>92672838</v>
      </c>
    </row>
    <row r="35" spans="1:5">
      <c r="A35" t="s">
        <v>11</v>
      </c>
      <c r="B35" s="15">
        <f>+B15</f>
        <v>101374729</v>
      </c>
      <c r="C35" s="15">
        <f>+C15</f>
        <v>106649242</v>
      </c>
      <c r="D35" s="15">
        <f>+D15</f>
        <v>106649242</v>
      </c>
      <c r="E35" s="15">
        <f>+E15</f>
        <v>106649242</v>
      </c>
    </row>
    <row r="36" spans="1:5">
      <c r="A36" s="16" t="s">
        <v>30</v>
      </c>
      <c r="B36" s="21" t="s">
        <v>24</v>
      </c>
      <c r="C36" s="22">
        <f>IF(Summary!C36=Recap!B38,Summary!C36,Recap!B38)</f>
        <v>0</v>
      </c>
      <c r="D36" s="22">
        <f>IF(Summary!D36=Recap!C38,Summary!D36,Recap!C38)</f>
        <v>0</v>
      </c>
      <c r="E36" s="22">
        <f>IF(Summary!E36=Recap!D38,Summary!E36,Recap!D38)</f>
        <v>0</v>
      </c>
    </row>
    <row r="37" spans="1:5">
      <c r="A37" s="16" t="s">
        <v>36</v>
      </c>
      <c r="B37" s="17"/>
      <c r="C37" s="23">
        <f>+C36*C35</f>
        <v>0</v>
      </c>
      <c r="D37" s="23">
        <f>+D36*D35</f>
        <v>0</v>
      </c>
      <c r="E37" s="23">
        <f>+E36*E35+D37</f>
        <v>0</v>
      </c>
    </row>
    <row r="38" spans="1:5">
      <c r="A38" t="s">
        <v>31</v>
      </c>
      <c r="B38" s="3" t="s">
        <v>24</v>
      </c>
      <c r="C38" s="3">
        <f>+[3]Sheet1!$D$11</f>
        <v>976932</v>
      </c>
      <c r="D38" s="3">
        <f>+[3]Sheet1!$D$11</f>
        <v>976932</v>
      </c>
      <c r="E38" s="3">
        <f>+[3]Sheet1!$D$11</f>
        <v>976932</v>
      </c>
    </row>
    <row r="39" spans="1:5">
      <c r="A39" t="s">
        <v>32</v>
      </c>
      <c r="C39" s="30">
        <f>+C37/C38/100</f>
        <v>0</v>
      </c>
      <c r="D39" s="30">
        <f>+D37/D38/100</f>
        <v>0</v>
      </c>
      <c r="E39" s="30">
        <f>+E37/E38/100</f>
        <v>0</v>
      </c>
    </row>
    <row r="40" spans="1:5">
      <c r="A40" t="s">
        <v>33</v>
      </c>
      <c r="B40" s="15">
        <f>+B35+B39</f>
        <v>101374729</v>
      </c>
      <c r="C40" s="15">
        <f>+C35+C37</f>
        <v>106649242</v>
      </c>
      <c r="D40" s="15">
        <f>+D35+D37</f>
        <v>106649242</v>
      </c>
      <c r="E40" s="15">
        <f>+E35+E37</f>
        <v>106649242</v>
      </c>
    </row>
    <row r="42" spans="1:5">
      <c r="A42" t="s">
        <v>34</v>
      </c>
      <c r="B42" s="3">
        <f>+B21</f>
        <v>18571829</v>
      </c>
      <c r="C42" s="3">
        <f>+C21</f>
        <v>20323224</v>
      </c>
      <c r="D42" s="3">
        <f>+D21</f>
        <v>20323224</v>
      </c>
      <c r="E42" s="3">
        <f>+E21</f>
        <v>20323224</v>
      </c>
    </row>
    <row r="44" spans="1:5">
      <c r="A44" t="s">
        <v>35</v>
      </c>
      <c r="B44" s="15">
        <f>+B33+B40+B42</f>
        <v>220770105</v>
      </c>
      <c r="C44" s="15">
        <f>+C33+C40+C42</f>
        <v>223073931.09999999</v>
      </c>
      <c r="D44" s="15">
        <f>+D33+D40+D42</f>
        <v>223676438.5</v>
      </c>
      <c r="E44" s="15">
        <f>+E33+E40+E42</f>
        <v>219645304</v>
      </c>
    </row>
    <row r="45" spans="1:5">
      <c r="A45" t="s">
        <v>37</v>
      </c>
      <c r="B45" s="24">
        <f>+B44/B23-1</f>
        <v>0</v>
      </c>
      <c r="C45" s="24">
        <f>+C44/C23-1</f>
        <v>-2.034909001467422E-2</v>
      </c>
      <c r="D45" s="24">
        <f>+D44/D23-1</f>
        <v>-1.7703120045111542E-2</v>
      </c>
      <c r="E45" s="24">
        <f>+E44/E23-1</f>
        <v>-3.5406240090223084E-2</v>
      </c>
    </row>
    <row r="47" spans="1:5" ht="15" thickBot="1"/>
    <row r="48" spans="1:5">
      <c r="A48" s="31" t="s">
        <v>38</v>
      </c>
      <c r="B48" s="32">
        <f>+B23-B44</f>
        <v>0</v>
      </c>
      <c r="C48" s="32">
        <f>+C44-C23</f>
        <v>-4633641.900000006</v>
      </c>
      <c r="D48" s="32">
        <f>+D44-D23</f>
        <v>-4031134.5</v>
      </c>
      <c r="E48" s="32">
        <f>+E44-E23</f>
        <v>-8062269</v>
      </c>
    </row>
    <row r="49" spans="1:5" ht="15" thickBot="1">
      <c r="A49" s="33" t="s">
        <v>39</v>
      </c>
      <c r="B49" s="34"/>
      <c r="C49" s="35">
        <f>+C48/B23</f>
        <v>-2.0988538733539154E-2</v>
      </c>
      <c r="D49" s="35">
        <f>+D48/C23</f>
        <v>-1.7703120045111542E-2</v>
      </c>
      <c r="E49" s="36">
        <f>+E48/D23</f>
        <v>-3.5406240090223084E-2</v>
      </c>
    </row>
    <row r="52" spans="1:5">
      <c r="A52" t="s">
        <v>50</v>
      </c>
      <c r="C52" s="20">
        <f>+C33-C11</f>
        <v>-4633641.900000006</v>
      </c>
      <c r="D52" s="20">
        <f>+D33-D11</f>
        <v>-4031134.5</v>
      </c>
      <c r="E52" s="20">
        <f>+E33-E11</f>
        <v>-8062269</v>
      </c>
    </row>
    <row r="53" spans="1:5">
      <c r="A53" t="s">
        <v>51</v>
      </c>
      <c r="C53" s="20">
        <f>+C40-C15</f>
        <v>0</v>
      </c>
      <c r="D53" s="20">
        <f>+D40-D15</f>
        <v>0</v>
      </c>
      <c r="E53" s="20">
        <f>+E40-E15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3"/>
  <sheetViews>
    <sheetView topLeftCell="A25" workbookViewId="0">
      <selection activeCell="D38" sqref="D38:E38"/>
    </sheetView>
  </sheetViews>
  <sheetFormatPr defaultRowHeight="14.4"/>
  <cols>
    <col min="1" max="1" width="25.33203125" customWidth="1"/>
    <col min="2" max="2" width="14.44140625" style="3" customWidth="1"/>
    <col min="3" max="3" width="12.88671875" customWidth="1"/>
    <col min="4" max="6" width="12.6640625" customWidth="1"/>
  </cols>
  <sheetData>
    <row r="1" spans="1:5">
      <c r="A1" t="s">
        <v>23</v>
      </c>
    </row>
    <row r="2" spans="1:5" ht="30" customHeight="1">
      <c r="A2" s="14" t="s">
        <v>22</v>
      </c>
      <c r="B2" s="4" t="s">
        <v>4</v>
      </c>
      <c r="C2" s="5" t="s">
        <v>20</v>
      </c>
      <c r="D2" s="5" t="s">
        <v>21</v>
      </c>
      <c r="E2" s="5" t="s">
        <v>21</v>
      </c>
    </row>
    <row r="3" spans="1:5" ht="18.600000000000001" customHeight="1">
      <c r="B3" s="8" t="s">
        <v>0</v>
      </c>
      <c r="C3" s="9" t="s">
        <v>1</v>
      </c>
      <c r="D3" s="9" t="s">
        <v>2</v>
      </c>
      <c r="E3" s="9" t="s">
        <v>3</v>
      </c>
    </row>
    <row r="4" spans="1:5" ht="18.600000000000001" customHeight="1">
      <c r="A4" s="2" t="s">
        <v>5</v>
      </c>
    </row>
    <row r="5" spans="1:5" ht="18.600000000000001" customHeight="1">
      <c r="A5" s="7" t="s">
        <v>6</v>
      </c>
      <c r="B5" s="10">
        <v>13507955</v>
      </c>
      <c r="C5" s="10">
        <v>12691749</v>
      </c>
      <c r="D5" s="10">
        <v>12691749</v>
      </c>
      <c r="E5" s="10">
        <v>12691749</v>
      </c>
    </row>
    <row r="6" spans="1:5" ht="18.600000000000001" customHeight="1">
      <c r="A6" s="7" t="s">
        <v>7</v>
      </c>
      <c r="B6" s="6">
        <v>2055897</v>
      </c>
      <c r="C6" s="6">
        <v>1945870</v>
      </c>
      <c r="D6" s="6">
        <v>1945870</v>
      </c>
      <c r="E6" s="6">
        <v>1945870</v>
      </c>
    </row>
    <row r="7" spans="1:5" ht="18.600000000000001" customHeight="1">
      <c r="A7" s="7" t="s">
        <v>8</v>
      </c>
      <c r="B7" s="6">
        <v>323762</v>
      </c>
      <c r="C7" s="6">
        <v>0</v>
      </c>
      <c r="D7" s="6">
        <v>0</v>
      </c>
      <c r="E7" s="6">
        <v>0</v>
      </c>
    </row>
    <row r="8" spans="1:5" ht="18.600000000000001" customHeight="1">
      <c r="A8" s="7" t="s">
        <v>10</v>
      </c>
      <c r="B8" s="10">
        <f>SUM(B5:B7)</f>
        <v>15887614</v>
      </c>
      <c r="C8" s="10">
        <f>SUM(C5:C7)</f>
        <v>14637619</v>
      </c>
      <c r="D8" s="10">
        <f>SUM(D5:D7)</f>
        <v>14637619</v>
      </c>
      <c r="E8" s="10">
        <f>SUM(E5:E7)</f>
        <v>14637619</v>
      </c>
    </row>
    <row r="9" spans="1:5" ht="18.600000000000001" customHeight="1">
      <c r="A9" s="7"/>
      <c r="B9" s="6"/>
      <c r="C9" s="6"/>
      <c r="D9" s="6"/>
      <c r="E9" s="6"/>
    </row>
    <row r="10" spans="1:5" ht="18.600000000000001" customHeight="1">
      <c r="A10" s="7" t="s">
        <v>9</v>
      </c>
      <c r="B10" s="6">
        <v>0</v>
      </c>
      <c r="C10" s="6">
        <v>1277982</v>
      </c>
      <c r="D10" s="6">
        <f>+C10</f>
        <v>1277982</v>
      </c>
      <c r="E10" s="6">
        <f>+D10</f>
        <v>1277982</v>
      </c>
    </row>
    <row r="11" spans="1:5" ht="18.600000000000001" customHeight="1">
      <c r="A11" s="11" t="s">
        <v>19</v>
      </c>
      <c r="B11" s="10">
        <f>+B8+B10</f>
        <v>15887614</v>
      </c>
      <c r="C11" s="10">
        <f>+C8+C10</f>
        <v>15915601</v>
      </c>
      <c r="D11" s="10">
        <f>+D8+D10</f>
        <v>15915601</v>
      </c>
      <c r="E11" s="10">
        <f>+E8+E10</f>
        <v>15915601</v>
      </c>
    </row>
    <row r="12" spans="1:5" ht="18.600000000000001" customHeight="1">
      <c r="C12" s="3"/>
      <c r="D12" s="3"/>
      <c r="E12" s="3"/>
    </row>
    <row r="13" spans="1:5" ht="18.600000000000001" customHeight="1">
      <c r="A13" s="11" t="s">
        <v>11</v>
      </c>
      <c r="B13" s="6"/>
      <c r="C13" s="6"/>
      <c r="D13" s="6"/>
      <c r="E13" s="6"/>
    </row>
    <row r="14" spans="1:5" ht="18.600000000000001" customHeight="1">
      <c r="A14" s="7" t="s">
        <v>11</v>
      </c>
      <c r="B14" s="10">
        <v>11711547</v>
      </c>
      <c r="C14" s="10">
        <v>12103627</v>
      </c>
      <c r="D14" s="10">
        <f>+C14</f>
        <v>12103627</v>
      </c>
      <c r="E14" s="10">
        <f>+D14</f>
        <v>12103627</v>
      </c>
    </row>
    <row r="15" spans="1:5" ht="18.600000000000001" customHeight="1">
      <c r="A15" s="7" t="s">
        <v>18</v>
      </c>
      <c r="B15" s="10">
        <f>SUM(B14)</f>
        <v>11711547</v>
      </c>
      <c r="C15" s="10">
        <f>SUM(C14)</f>
        <v>12103627</v>
      </c>
      <c r="D15" s="10">
        <f>SUM(D14)</f>
        <v>12103627</v>
      </c>
      <c r="E15" s="10">
        <f>SUM(E14)</f>
        <v>12103627</v>
      </c>
    </row>
    <row r="16" spans="1:5" ht="18.600000000000001" customHeight="1">
      <c r="A16" s="11" t="s">
        <v>12</v>
      </c>
      <c r="B16" s="6"/>
      <c r="C16" s="6"/>
      <c r="D16" s="6"/>
      <c r="E16" s="6"/>
    </row>
    <row r="17" spans="1:5" ht="18.600000000000001" customHeight="1">
      <c r="A17" s="7" t="s">
        <v>14</v>
      </c>
      <c r="B17" s="10">
        <v>821881</v>
      </c>
      <c r="C17" s="10">
        <v>344138</v>
      </c>
      <c r="D17" s="10">
        <v>344138</v>
      </c>
      <c r="E17" s="10">
        <v>344138</v>
      </c>
    </row>
    <row r="18" spans="1:5" ht="18.600000000000001" customHeight="1">
      <c r="A18" s="7" t="s">
        <v>15</v>
      </c>
      <c r="B18" s="6">
        <v>247338</v>
      </c>
      <c r="C18" s="6">
        <v>247338</v>
      </c>
      <c r="D18" s="6">
        <v>247338</v>
      </c>
      <c r="E18" s="6">
        <v>247338</v>
      </c>
    </row>
    <row r="19" spans="1:5" ht="18.600000000000001" customHeight="1">
      <c r="A19" s="7" t="s">
        <v>12</v>
      </c>
      <c r="B19" s="6">
        <v>525466</v>
      </c>
      <c r="C19" s="6">
        <v>525466</v>
      </c>
      <c r="D19" s="6">
        <v>525466</v>
      </c>
      <c r="E19" s="6">
        <v>525466</v>
      </c>
    </row>
    <row r="20" spans="1:5" ht="18.600000000000001" customHeight="1">
      <c r="A20" s="7" t="s">
        <v>16</v>
      </c>
      <c r="B20" s="6">
        <v>0</v>
      </c>
      <c r="C20" s="6">
        <v>0</v>
      </c>
      <c r="D20" s="6">
        <v>0</v>
      </c>
      <c r="E20" s="6">
        <v>0</v>
      </c>
    </row>
    <row r="21" spans="1:5" ht="18.600000000000001" customHeight="1">
      <c r="A21" s="7" t="s">
        <v>17</v>
      </c>
      <c r="B21" s="10">
        <f>SUM(B17:B20)</f>
        <v>1594685</v>
      </c>
      <c r="C21" s="10">
        <f>SUM(C17:C20)</f>
        <v>1116942</v>
      </c>
      <c r="D21" s="10">
        <f>SUM(D17:D20)</f>
        <v>1116942</v>
      </c>
      <c r="E21" s="10">
        <f>SUM(E17:E20)</f>
        <v>1116942</v>
      </c>
    </row>
    <row r="22" spans="1:5" ht="18.600000000000001" customHeight="1">
      <c r="C22" s="3"/>
      <c r="D22" s="3"/>
      <c r="E22" s="3"/>
    </row>
    <row r="23" spans="1:5" s="1" customFormat="1" ht="18.600000000000001" customHeight="1">
      <c r="A23" s="12" t="s">
        <v>13</v>
      </c>
      <c r="B23" s="13">
        <f>+B11+B15+B21</f>
        <v>29193846</v>
      </c>
      <c r="C23" s="13">
        <f>+C11+C15+C21</f>
        <v>29136170</v>
      </c>
      <c r="D23" s="13">
        <f>+D11+D15+D21</f>
        <v>29136170</v>
      </c>
      <c r="E23" s="13">
        <f>+E11+E15+E21</f>
        <v>29136170</v>
      </c>
    </row>
    <row r="26" spans="1:5">
      <c r="A26" t="s">
        <v>27</v>
      </c>
      <c r="B26" s="15">
        <f>+B8</f>
        <v>15887614</v>
      </c>
      <c r="C26" s="15">
        <f>+C8</f>
        <v>14637619</v>
      </c>
      <c r="D26" s="15">
        <f>+D8</f>
        <v>14637619</v>
      </c>
      <c r="E26" s="15">
        <f>+E8</f>
        <v>14637619</v>
      </c>
    </row>
    <row r="27" spans="1:5">
      <c r="A27" s="16" t="s">
        <v>28</v>
      </c>
      <c r="B27" s="18">
        <v>0</v>
      </c>
      <c r="C27" s="18">
        <f>+Summary!C27</f>
        <v>0.05</v>
      </c>
      <c r="D27" s="18">
        <f>+Summary!D27</f>
        <v>0</v>
      </c>
      <c r="E27" s="18">
        <f>+Summary!E27</f>
        <v>0</v>
      </c>
    </row>
    <row r="28" spans="1:5">
      <c r="A28" s="16" t="s">
        <v>26</v>
      </c>
      <c r="B28" s="19">
        <f>+B26*B27</f>
        <v>0</v>
      </c>
      <c r="C28" s="19">
        <f>+C26*C27</f>
        <v>731880.95000000007</v>
      </c>
      <c r="D28" s="19">
        <f>+D26*D27</f>
        <v>0</v>
      </c>
      <c r="E28" s="19">
        <f>+E26*E27</f>
        <v>0</v>
      </c>
    </row>
    <row r="29" spans="1:5">
      <c r="A29" t="s">
        <v>29</v>
      </c>
      <c r="B29" s="20">
        <f>+B26-B28</f>
        <v>15887614</v>
      </c>
      <c r="C29" s="20">
        <f>+C26-C28</f>
        <v>13905738.050000001</v>
      </c>
      <c r="D29" s="20">
        <f>+D26-D28</f>
        <v>14637619</v>
      </c>
      <c r="E29" s="20">
        <f>+E26-E28</f>
        <v>14637619</v>
      </c>
    </row>
    <row r="30" spans="1:5">
      <c r="A30" t="s">
        <v>9</v>
      </c>
      <c r="B30" s="3">
        <f>+B10</f>
        <v>0</v>
      </c>
      <c r="C30" s="3">
        <f>+C10</f>
        <v>1277982</v>
      </c>
      <c r="D30" s="3">
        <f>+D10</f>
        <v>1277982</v>
      </c>
      <c r="E30" s="3">
        <f>+E10</f>
        <v>1277982</v>
      </c>
    </row>
    <row r="31" spans="1:5">
      <c r="A31" t="s">
        <v>56</v>
      </c>
      <c r="C31" s="3">
        <v>0</v>
      </c>
      <c r="D31" s="3">
        <f>+C30/2</f>
        <v>638991</v>
      </c>
      <c r="E31" s="3">
        <f>+C30</f>
        <v>1277982</v>
      </c>
    </row>
    <row r="32" spans="1:5">
      <c r="A32" t="s">
        <v>57</v>
      </c>
      <c r="B32" s="3">
        <v>0</v>
      </c>
      <c r="C32" s="3">
        <f>+C30-C31</f>
        <v>1277982</v>
      </c>
      <c r="D32" s="3">
        <f>+D30-D31</f>
        <v>638991</v>
      </c>
      <c r="E32" s="3">
        <f>+E30-E31</f>
        <v>0</v>
      </c>
    </row>
    <row r="33" spans="1:5">
      <c r="B33" s="15">
        <f>+B29+B30</f>
        <v>15887614</v>
      </c>
      <c r="C33" s="15">
        <f>+C29+C32</f>
        <v>15183720.050000001</v>
      </c>
      <c r="D33" s="15">
        <f>+D29+D32</f>
        <v>15276610</v>
      </c>
      <c r="E33" s="15">
        <f>+E29+E32</f>
        <v>14637619</v>
      </c>
    </row>
    <row r="35" spans="1:5">
      <c r="A35" t="s">
        <v>11</v>
      </c>
      <c r="B35" s="15">
        <f>+B15</f>
        <v>11711547</v>
      </c>
      <c r="C35" s="15">
        <f>+C15</f>
        <v>12103627</v>
      </c>
      <c r="D35" s="15">
        <f>+D15</f>
        <v>12103627</v>
      </c>
      <c r="E35" s="15">
        <f>+E15</f>
        <v>12103627</v>
      </c>
    </row>
    <row r="36" spans="1:5">
      <c r="A36" s="16" t="s">
        <v>30</v>
      </c>
      <c r="B36" s="21" t="s">
        <v>24</v>
      </c>
      <c r="C36" s="22">
        <f>IF(Summary!C36=Recap!B38,Summary!C36,Recap!B38)</f>
        <v>0</v>
      </c>
      <c r="D36" s="22">
        <f>IF(Summary!D36=Recap!C38,Summary!D36,Recap!C38)</f>
        <v>0</v>
      </c>
      <c r="E36" s="22">
        <f>IF(Summary!E36=Recap!D38,Summary!E36,Recap!D38)</f>
        <v>0</v>
      </c>
    </row>
    <row r="37" spans="1:5">
      <c r="A37" s="16" t="s">
        <v>36</v>
      </c>
      <c r="B37" s="17"/>
      <c r="C37" s="23">
        <f>+C36*C35</f>
        <v>0</v>
      </c>
      <c r="D37" s="23">
        <f>+D36*D35</f>
        <v>0</v>
      </c>
      <c r="E37" s="23">
        <f>+E36*E35+D37</f>
        <v>0</v>
      </c>
    </row>
    <row r="38" spans="1:5">
      <c r="A38" t="s">
        <v>31</v>
      </c>
      <c r="B38" s="3" t="s">
        <v>24</v>
      </c>
      <c r="C38" s="3">
        <f>+[3]Sheet1!$D$12</f>
        <v>100057</v>
      </c>
      <c r="D38" s="3">
        <f>+[3]Sheet1!$D$12</f>
        <v>100057</v>
      </c>
      <c r="E38" s="3">
        <f>+[3]Sheet1!$D$12</f>
        <v>100057</v>
      </c>
    </row>
    <row r="39" spans="1:5">
      <c r="A39" t="s">
        <v>32</v>
      </c>
      <c r="C39" s="30">
        <f>+C37/C38/100</f>
        <v>0</v>
      </c>
      <c r="D39" s="30">
        <f>+D37/D38/100</f>
        <v>0</v>
      </c>
      <c r="E39" s="30">
        <f>+E37/E38/100</f>
        <v>0</v>
      </c>
    </row>
    <row r="40" spans="1:5">
      <c r="A40" t="s">
        <v>33</v>
      </c>
      <c r="B40" s="15">
        <f>+B35+B39</f>
        <v>11711547</v>
      </c>
      <c r="C40" s="15">
        <f>+C35+C37</f>
        <v>12103627</v>
      </c>
      <c r="D40" s="15">
        <f>+D35+D37</f>
        <v>12103627</v>
      </c>
      <c r="E40" s="15">
        <f>+E35+E37</f>
        <v>12103627</v>
      </c>
    </row>
    <row r="42" spans="1:5">
      <c r="A42" t="s">
        <v>34</v>
      </c>
      <c r="B42" s="3">
        <f>+B21</f>
        <v>1594685</v>
      </c>
      <c r="C42" s="3">
        <f>+C21</f>
        <v>1116942</v>
      </c>
      <c r="D42" s="3">
        <f>+D21</f>
        <v>1116942</v>
      </c>
      <c r="E42" s="3">
        <f>+E21</f>
        <v>1116942</v>
      </c>
    </row>
    <row r="44" spans="1:5">
      <c r="A44" t="s">
        <v>35</v>
      </c>
      <c r="B44" s="15">
        <f>+B33+B40+B42</f>
        <v>29193846</v>
      </c>
      <c r="C44" s="15">
        <f>+C33+C40+C42</f>
        <v>28404289.050000001</v>
      </c>
      <c r="D44" s="15">
        <f>+D33+D40+D42</f>
        <v>28497179</v>
      </c>
      <c r="E44" s="15">
        <f>+E33+E40+E42</f>
        <v>27858188</v>
      </c>
    </row>
    <row r="45" spans="1:5">
      <c r="A45" t="s">
        <v>37</v>
      </c>
      <c r="B45" s="24">
        <f>+B44/B23-1</f>
        <v>0</v>
      </c>
      <c r="C45" s="24">
        <f>+C44/C23-1</f>
        <v>-2.5119325910028634E-2</v>
      </c>
      <c r="D45" s="24">
        <f>+D44/D23-1</f>
        <v>-2.1931194113708141E-2</v>
      </c>
      <c r="E45" s="24">
        <f>+E44/E23-1</f>
        <v>-4.3862388227416282E-2</v>
      </c>
    </row>
    <row r="47" spans="1:5" ht="15" thickBot="1"/>
    <row r="48" spans="1:5">
      <c r="A48" s="31" t="s">
        <v>38</v>
      </c>
      <c r="B48" s="32">
        <f>+B23-B44</f>
        <v>0</v>
      </c>
      <c r="C48" s="32">
        <f>+C44-C23</f>
        <v>-731880.94999999925</v>
      </c>
      <c r="D48" s="32">
        <f>+D44-D23</f>
        <v>-638991</v>
      </c>
      <c r="E48" s="32">
        <f>+E44-E23</f>
        <v>-1277982</v>
      </c>
    </row>
    <row r="49" spans="1:5" ht="15" thickBot="1">
      <c r="A49" s="33" t="s">
        <v>39</v>
      </c>
      <c r="B49" s="34"/>
      <c r="C49" s="35">
        <f>+C48/B23</f>
        <v>-2.5069699620940633E-2</v>
      </c>
      <c r="D49" s="35">
        <f>+D48/C23</f>
        <v>-2.1931194113708152E-2</v>
      </c>
      <c r="E49" s="36">
        <f>+E48/D23</f>
        <v>-4.3862388227416303E-2</v>
      </c>
    </row>
    <row r="52" spans="1:5">
      <c r="A52" t="s">
        <v>50</v>
      </c>
      <c r="C52" s="20">
        <f>+C33-C11</f>
        <v>-731880.94999999925</v>
      </c>
      <c r="D52" s="20">
        <f>+D33-D11</f>
        <v>-638991</v>
      </c>
      <c r="E52" s="20">
        <f>+E33-E11</f>
        <v>-1277982</v>
      </c>
    </row>
    <row r="53" spans="1:5">
      <c r="A53" t="s">
        <v>51</v>
      </c>
      <c r="C53" s="20">
        <f>+C40-C15</f>
        <v>0</v>
      </c>
      <c r="D53" s="20">
        <f>+D40-D15</f>
        <v>0</v>
      </c>
      <c r="E53" s="20">
        <f>+E40-E15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Recap</vt:lpstr>
      <vt:lpstr>Summary</vt:lpstr>
      <vt:lpstr>SYstem Information Only</vt:lpstr>
      <vt:lpstr>Other Approp Bills</vt:lpstr>
      <vt:lpstr>ASU</vt:lpstr>
      <vt:lpstr>DSU</vt:lpstr>
      <vt:lpstr>JSU</vt:lpstr>
      <vt:lpstr>MSU</vt:lpstr>
      <vt:lpstr>MUW</vt:lpstr>
      <vt:lpstr>MVSU</vt:lpstr>
      <vt:lpstr>UM</vt:lpstr>
      <vt:lpstr>USM</vt:lpstr>
      <vt:lpstr>'Other Approp Bills'!Print_Area</vt:lpstr>
      <vt:lpstr>Recap!Print_Area</vt:lpstr>
    </vt:vector>
  </TitlesOfParts>
  <Company>IHL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Mcfall</dc:creator>
  <cp:lastModifiedBy>Linda Mcfall</cp:lastModifiedBy>
  <cp:lastPrinted>2009-08-18T16:34:02Z</cp:lastPrinted>
  <dcterms:created xsi:type="dcterms:W3CDTF">2009-08-11T22:24:13Z</dcterms:created>
  <dcterms:modified xsi:type="dcterms:W3CDTF">2009-08-19T13:36:11Z</dcterms:modified>
</cp:coreProperties>
</file>